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asti\Drive T-Wall\Aktuell\MASTER UNVERSCHLÜSSELT\"/>
    </mc:Choice>
  </mc:AlternateContent>
  <xr:revisionPtr revIDLastSave="0" documentId="13_ncr:1_{45EEAF73-7977-4626-9DD4-DC295FCF191F}" xr6:coauthVersionLast="47" xr6:coauthVersionMax="47" xr10:uidLastSave="{00000000-0000-0000-0000-000000000000}"/>
  <workbookProtection workbookAlgorithmName="SHA-512" workbookHashValue="RpHFLcYb+AoXvuISHLB5Xj6UpFQUSz0zmVUX0E6AOYh6nXU2S80DMLvec37ZE88uxLJmaxyhw1XaEg/Jwsmz8Q==" workbookSaltValue="wadc0ud9u0PbKIF1cMYzKw==" workbookSpinCount="100000" lockStructure="1"/>
  <bookViews>
    <workbookView xWindow="-120" yWindow="-120" windowWidth="29040" windowHeight="15720" tabRatio="500" activeTab="1" xr2:uid="{00000000-000D-0000-FFFF-FFFF00000000}"/>
  </bookViews>
  <sheets>
    <sheet name="OVERVIEW" sheetId="5" r:id="rId1"/>
    <sheet name="HOLDS" sheetId="1" r:id="rId2"/>
    <sheet name="Datenbank Holds" sheetId="2" state="hidden" r:id="rId3"/>
    <sheet name="Berechnung Holds" sheetId="3" state="hidden" r:id="rId4"/>
  </sheets>
  <definedNames>
    <definedName name="_xlnm.Print_Area" localSheetId="2">'Datenbank Holds'!#REF!</definedName>
    <definedName name="_xlnm.Print_Area" localSheetId="0">OVERVIEW!$A$1:$I$27</definedName>
    <definedName name="_xlnm.Print_Titles" localSheetId="1">HOLDS!$1:$9</definedName>
    <definedName name="_xlnm.Print_Titles" localSheetId="0">OVERVIEW!$1:$7</definedName>
    <definedName name="SelectSafetyline">wenns(#REF!=1,#REF!,#REF!=2,#REF!,#REF!=3,#REF!)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" i="2" l="1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D5" i="3"/>
  <c r="E5" i="3"/>
  <c r="F5" i="3" s="1"/>
  <c r="H5" i="3"/>
  <c r="I5" i="3"/>
  <c r="J5" i="3"/>
  <c r="K5" i="3"/>
  <c r="L5" i="3"/>
  <c r="M5" i="3"/>
  <c r="O5" i="3"/>
  <c r="P5" i="3"/>
  <c r="Q5" i="3"/>
  <c r="R5" i="3"/>
  <c r="S5" i="3"/>
  <c r="T5" i="3"/>
  <c r="U5" i="3"/>
  <c r="AR5" i="3"/>
  <c r="AS5" i="3"/>
  <c r="AV5" i="3"/>
  <c r="D6" i="3"/>
  <c r="E6" i="3"/>
  <c r="F6" i="3" s="1"/>
  <c r="K6" i="3"/>
  <c r="L6" i="3"/>
  <c r="AS6" i="3"/>
  <c r="AV6" i="3"/>
  <c r="D7" i="3"/>
  <c r="E7" i="3"/>
  <c r="F7" i="3" s="1"/>
  <c r="AS7" i="3"/>
  <c r="AV7" i="3"/>
  <c r="D8" i="3"/>
  <c r="E8" i="3"/>
  <c r="G8" i="3" s="1"/>
  <c r="F8" i="3"/>
  <c r="L8" i="3"/>
  <c r="M8" i="3"/>
  <c r="N8" i="3"/>
  <c r="T8" i="3"/>
  <c r="U8" i="3"/>
  <c r="V8" i="3"/>
  <c r="AS8" i="3"/>
  <c r="AV8" i="3"/>
  <c r="D9" i="3"/>
  <c r="E9" i="3"/>
  <c r="H9" i="3" s="1"/>
  <c r="G9" i="3"/>
  <c r="O9" i="3"/>
  <c r="U9" i="3"/>
  <c r="AS9" i="3"/>
  <c r="AV9" i="3"/>
  <c r="D10" i="3"/>
  <c r="E10" i="3"/>
  <c r="I10" i="3" s="1"/>
  <c r="F10" i="3"/>
  <c r="G10" i="3"/>
  <c r="H10" i="3"/>
  <c r="M10" i="3"/>
  <c r="N10" i="3"/>
  <c r="O10" i="3"/>
  <c r="P10" i="3"/>
  <c r="U10" i="3"/>
  <c r="V10" i="3"/>
  <c r="AS10" i="3"/>
  <c r="AV10" i="3"/>
  <c r="D11" i="3"/>
  <c r="E11" i="3"/>
  <c r="K11" i="3" s="1"/>
  <c r="F11" i="3"/>
  <c r="G11" i="3"/>
  <c r="H11" i="3"/>
  <c r="I11" i="3"/>
  <c r="J11" i="3"/>
  <c r="M11" i="3"/>
  <c r="N11" i="3"/>
  <c r="O11" i="3"/>
  <c r="P11" i="3"/>
  <c r="Q11" i="3"/>
  <c r="R11" i="3"/>
  <c r="U11" i="3"/>
  <c r="V11" i="3"/>
  <c r="AS11" i="3"/>
  <c r="AV11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AS12" i="3"/>
  <c r="AV12" i="3"/>
  <c r="D13" i="3"/>
  <c r="E13" i="3"/>
  <c r="F13" i="3" s="1"/>
  <c r="H13" i="3"/>
  <c r="I13" i="3"/>
  <c r="J13" i="3"/>
  <c r="K13" i="3"/>
  <c r="L13" i="3"/>
  <c r="M13" i="3"/>
  <c r="O13" i="3"/>
  <c r="P13" i="3"/>
  <c r="Q13" i="3"/>
  <c r="R13" i="3"/>
  <c r="S13" i="3"/>
  <c r="T13" i="3"/>
  <c r="U13" i="3"/>
  <c r="AS13" i="3"/>
  <c r="AV13" i="3"/>
  <c r="D14" i="3"/>
  <c r="E14" i="3"/>
  <c r="F14" i="3" s="1"/>
  <c r="J14" i="3"/>
  <c r="K14" i="3"/>
  <c r="L14" i="3"/>
  <c r="M14" i="3"/>
  <c r="R14" i="3"/>
  <c r="S14" i="3"/>
  <c r="T14" i="3"/>
  <c r="U14" i="3"/>
  <c r="AS14" i="3"/>
  <c r="AV14" i="3"/>
  <c r="D15" i="3"/>
  <c r="E15" i="3"/>
  <c r="F15" i="3" s="1"/>
  <c r="U15" i="3"/>
  <c r="AS15" i="3"/>
  <c r="AV15" i="3"/>
  <c r="D16" i="3"/>
  <c r="E16" i="3"/>
  <c r="G16" i="3" s="1"/>
  <c r="F16" i="3"/>
  <c r="L16" i="3"/>
  <c r="M16" i="3"/>
  <c r="N16" i="3"/>
  <c r="T16" i="3"/>
  <c r="U16" i="3"/>
  <c r="V16" i="3"/>
  <c r="AS16" i="3"/>
  <c r="AV16" i="3"/>
  <c r="D17" i="3"/>
  <c r="E17" i="3"/>
  <c r="H17" i="3" s="1"/>
  <c r="AS17" i="3"/>
  <c r="AV17" i="3"/>
  <c r="D18" i="3"/>
  <c r="E18" i="3"/>
  <c r="I18" i="3" s="1"/>
  <c r="P18" i="3"/>
  <c r="V18" i="3"/>
  <c r="AS18" i="3"/>
  <c r="AV18" i="3"/>
  <c r="D19" i="3"/>
  <c r="E19" i="3"/>
  <c r="K19" i="3" s="1"/>
  <c r="F19" i="3"/>
  <c r="G19" i="3"/>
  <c r="H19" i="3"/>
  <c r="I19" i="3"/>
  <c r="J19" i="3"/>
  <c r="L19" i="3"/>
  <c r="M19" i="3"/>
  <c r="N19" i="3"/>
  <c r="O19" i="3"/>
  <c r="P19" i="3"/>
  <c r="Q19" i="3"/>
  <c r="R19" i="3"/>
  <c r="T19" i="3"/>
  <c r="U19" i="3"/>
  <c r="V19" i="3"/>
  <c r="AS19" i="3"/>
  <c r="AV19" i="3"/>
  <c r="D20" i="3"/>
  <c r="E20" i="3"/>
  <c r="L20" i="3" s="1"/>
  <c r="AS20" i="3"/>
  <c r="AV20" i="3"/>
  <c r="D21" i="3"/>
  <c r="E21" i="3"/>
  <c r="G21" i="3" s="1"/>
  <c r="F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AS21" i="3"/>
  <c r="AV21" i="3"/>
  <c r="D22" i="3"/>
  <c r="E22" i="3"/>
  <c r="F22" i="3" s="1"/>
  <c r="J22" i="3"/>
  <c r="K22" i="3"/>
  <c r="L22" i="3"/>
  <c r="M22" i="3"/>
  <c r="R22" i="3"/>
  <c r="S22" i="3"/>
  <c r="T22" i="3"/>
  <c r="U22" i="3"/>
  <c r="AS22" i="3"/>
  <c r="AV22" i="3"/>
  <c r="D23" i="3"/>
  <c r="E23" i="3"/>
  <c r="F23" i="3" s="1"/>
  <c r="U23" i="3"/>
  <c r="AS23" i="3"/>
  <c r="AV23" i="3"/>
  <c r="B5" i="3"/>
  <c r="G5" i="2"/>
  <c r="AB5" i="2"/>
  <c r="E13" i="1"/>
  <c r="X13" i="1" s="1"/>
  <c r="E14" i="1"/>
  <c r="X14" i="1" s="1"/>
  <c r="E15" i="1"/>
  <c r="X15" i="1" s="1"/>
  <c r="E16" i="1"/>
  <c r="AD9" i="3" s="1"/>
  <c r="E17" i="1"/>
  <c r="X17" i="1" s="1"/>
  <c r="E18" i="1"/>
  <c r="AB11" i="3" s="1"/>
  <c r="E19" i="1"/>
  <c r="X19" i="1" s="1"/>
  <c r="E20" i="1"/>
  <c r="X20" i="1" s="1"/>
  <c r="E21" i="1"/>
  <c r="X21" i="1" s="1"/>
  <c r="E22" i="1"/>
  <c r="X22" i="1" s="1"/>
  <c r="D7" i="2"/>
  <c r="D8" i="2"/>
  <c r="D9" i="2"/>
  <c r="D10" i="2"/>
  <c r="D11" i="2"/>
  <c r="D12" i="2"/>
  <c r="D13" i="2"/>
  <c r="D14" i="2"/>
  <c r="D15" i="2"/>
  <c r="D16" i="2"/>
  <c r="D17" i="2"/>
  <c r="D18" i="2"/>
  <c r="AG10" i="2"/>
  <c r="AG16" i="2"/>
  <c r="AG15" i="2"/>
  <c r="Z1" i="1"/>
  <c r="A1" i="1"/>
  <c r="F15" i="1" s="1"/>
  <c r="Y15" i="1" s="1"/>
  <c r="O18" i="3" l="1"/>
  <c r="N18" i="3"/>
  <c r="R20" i="3"/>
  <c r="H20" i="3"/>
  <c r="Q20" i="3"/>
  <c r="G20" i="3"/>
  <c r="O20" i="3"/>
  <c r="M20" i="3"/>
  <c r="K20" i="3"/>
  <c r="P20" i="3"/>
  <c r="U20" i="3"/>
  <c r="J20" i="3"/>
  <c r="S20" i="3"/>
  <c r="I20" i="3"/>
  <c r="H18" i="3"/>
  <c r="G18" i="3"/>
  <c r="F18" i="3"/>
  <c r="G17" i="3"/>
  <c r="O17" i="3"/>
  <c r="AJ15" i="3"/>
  <c r="AB15" i="3"/>
  <c r="AI14" i="3"/>
  <c r="AA14" i="3"/>
  <c r="AO13" i="3"/>
  <c r="AG13" i="3"/>
  <c r="Y13" i="3"/>
  <c r="AJ12" i="3"/>
  <c r="AB12" i="3"/>
  <c r="AI11" i="3"/>
  <c r="AA11" i="3"/>
  <c r="AL10" i="3"/>
  <c r="AD10" i="3"/>
  <c r="AK9" i="3"/>
  <c r="AC9" i="3"/>
  <c r="AL8" i="3"/>
  <c r="AD8" i="3"/>
  <c r="AI7" i="3"/>
  <c r="AA7" i="3"/>
  <c r="AO6" i="3"/>
  <c r="AG6" i="3"/>
  <c r="Y6" i="3"/>
  <c r="AI15" i="3"/>
  <c r="AA15" i="3"/>
  <c r="AH14" i="3"/>
  <c r="Z14" i="3"/>
  <c r="AN13" i="3"/>
  <c r="AF13" i="3"/>
  <c r="AI12" i="3"/>
  <c r="AA12" i="3"/>
  <c r="AH11" i="3"/>
  <c r="Z11" i="3"/>
  <c r="AK10" i="3"/>
  <c r="AC10" i="3"/>
  <c r="AJ9" i="3"/>
  <c r="AB9" i="3"/>
  <c r="AK8" i="3"/>
  <c r="AC8" i="3"/>
  <c r="AH7" i="3"/>
  <c r="Z7" i="3"/>
  <c r="AN6" i="3"/>
  <c r="AF6" i="3"/>
  <c r="AH15" i="3"/>
  <c r="Z15" i="3"/>
  <c r="AO14" i="3"/>
  <c r="AG14" i="3"/>
  <c r="Y14" i="3"/>
  <c r="AM13" i="3"/>
  <c r="AE13" i="3"/>
  <c r="AH12" i="3"/>
  <c r="Z12" i="3"/>
  <c r="AO11" i="3"/>
  <c r="AG11" i="3"/>
  <c r="Y11" i="3"/>
  <c r="AJ10" i="3"/>
  <c r="AB10" i="3"/>
  <c r="AI9" i="3"/>
  <c r="AA9" i="3"/>
  <c r="AJ8" i="3"/>
  <c r="AB8" i="3"/>
  <c r="AO7" i="3"/>
  <c r="AG7" i="3"/>
  <c r="Y7" i="3"/>
  <c r="AM6" i="3"/>
  <c r="AE6" i="3"/>
  <c r="AO15" i="3"/>
  <c r="AG15" i="3"/>
  <c r="Y15" i="3"/>
  <c r="AN14" i="3"/>
  <c r="AF14" i="3"/>
  <c r="AL13" i="3"/>
  <c r="AD13" i="3"/>
  <c r="AO12" i="3"/>
  <c r="AG12" i="3"/>
  <c r="Y12" i="3"/>
  <c r="AN11" i="3"/>
  <c r="AF11" i="3"/>
  <c r="AI10" i="3"/>
  <c r="AA10" i="3"/>
  <c r="AH9" i="3"/>
  <c r="Z9" i="3"/>
  <c r="AI8" i="3"/>
  <c r="AA8" i="3"/>
  <c r="AN7" i="3"/>
  <c r="AF7" i="3"/>
  <c r="AL6" i="3"/>
  <c r="AD6" i="3"/>
  <c r="AN15" i="3"/>
  <c r="AF15" i="3"/>
  <c r="AM14" i="3"/>
  <c r="AE14" i="3"/>
  <c r="AK13" i="3"/>
  <c r="AC13" i="3"/>
  <c r="AN12" i="3"/>
  <c r="AF12" i="3"/>
  <c r="AM11" i="3"/>
  <c r="AE11" i="3"/>
  <c r="AH10" i="3"/>
  <c r="Z10" i="3"/>
  <c r="AO9" i="3"/>
  <c r="AG9" i="3"/>
  <c r="Y9" i="3"/>
  <c r="AH8" i="3"/>
  <c r="Z8" i="3"/>
  <c r="AM7" i="3"/>
  <c r="AE7" i="3"/>
  <c r="AK6" i="3"/>
  <c r="AC6" i="3"/>
  <c r="X18" i="1"/>
  <c r="AM15" i="3"/>
  <c r="AE15" i="3"/>
  <c r="AL14" i="3"/>
  <c r="AD14" i="3"/>
  <c r="AJ13" i="3"/>
  <c r="AB13" i="3"/>
  <c r="AM12" i="3"/>
  <c r="AE12" i="3"/>
  <c r="AL11" i="3"/>
  <c r="AD11" i="3"/>
  <c r="AO10" i="3"/>
  <c r="AG10" i="3"/>
  <c r="Y10" i="3"/>
  <c r="AN9" i="3"/>
  <c r="AF9" i="3"/>
  <c r="AO8" i="3"/>
  <c r="AG8" i="3"/>
  <c r="Y8" i="3"/>
  <c r="AL7" i="3"/>
  <c r="AD7" i="3"/>
  <c r="AJ6" i="3"/>
  <c r="AB6" i="3"/>
  <c r="X16" i="1"/>
  <c r="C16" i="1" s="1"/>
  <c r="AL15" i="3"/>
  <c r="AD15" i="3"/>
  <c r="AK14" i="3"/>
  <c r="AC14" i="3"/>
  <c r="AI13" i="3"/>
  <c r="AA13" i="3"/>
  <c r="AL12" i="3"/>
  <c r="AD12" i="3"/>
  <c r="AK11" i="3"/>
  <c r="AC11" i="3"/>
  <c r="AN10" i="3"/>
  <c r="AF10" i="3"/>
  <c r="AM9" i="3"/>
  <c r="AE9" i="3"/>
  <c r="AN8" i="3"/>
  <c r="AF8" i="3"/>
  <c r="AK7" i="3"/>
  <c r="AC7" i="3"/>
  <c r="AI6" i="3"/>
  <c r="AA6" i="3"/>
  <c r="AK15" i="3"/>
  <c r="AC15" i="3"/>
  <c r="AJ14" i="3"/>
  <c r="AB14" i="3"/>
  <c r="AH13" i="3"/>
  <c r="Z13" i="3"/>
  <c r="AK12" i="3"/>
  <c r="AC12" i="3"/>
  <c r="AJ11" i="3"/>
  <c r="AM10" i="3"/>
  <c r="AE10" i="3"/>
  <c r="AL9" i="3"/>
  <c r="AM8" i="3"/>
  <c r="AE8" i="3"/>
  <c r="AJ7" i="3"/>
  <c r="AB7" i="3"/>
  <c r="AH6" i="3"/>
  <c r="Z6" i="3"/>
  <c r="F18" i="1"/>
  <c r="Y18" i="1" s="1"/>
  <c r="F14" i="1"/>
  <c r="Y14" i="1" s="1"/>
  <c r="F13" i="1"/>
  <c r="Y13" i="1" s="1"/>
  <c r="F20" i="1"/>
  <c r="Y20" i="1" s="1"/>
  <c r="F16" i="1"/>
  <c r="Y16" i="1" s="1"/>
  <c r="F22" i="1"/>
  <c r="Y22" i="1" s="1"/>
  <c r="F21" i="1"/>
  <c r="Y21" i="1" s="1"/>
  <c r="F17" i="1"/>
  <c r="Y17" i="1" s="1"/>
  <c r="F19" i="1"/>
  <c r="Y19" i="1" s="1"/>
  <c r="J6" i="3"/>
  <c r="U6" i="3"/>
  <c r="R6" i="3"/>
  <c r="M6" i="3"/>
  <c r="T6" i="3"/>
  <c r="S6" i="3"/>
  <c r="T23" i="3"/>
  <c r="V17" i="3"/>
  <c r="N17" i="3"/>
  <c r="F17" i="3"/>
  <c r="T15" i="3"/>
  <c r="L15" i="3"/>
  <c r="V9" i="3"/>
  <c r="N9" i="3"/>
  <c r="F9" i="3"/>
  <c r="T7" i="3"/>
  <c r="L7" i="3"/>
  <c r="K23" i="3"/>
  <c r="S15" i="3"/>
  <c r="S7" i="3"/>
  <c r="U18" i="3"/>
  <c r="S16" i="3"/>
  <c r="K16" i="3"/>
  <c r="R15" i="3"/>
  <c r="J15" i="3"/>
  <c r="Q14" i="3"/>
  <c r="I14" i="3"/>
  <c r="T9" i="3"/>
  <c r="L9" i="3"/>
  <c r="S8" i="3"/>
  <c r="K8" i="3"/>
  <c r="R7" i="3"/>
  <c r="J7" i="3"/>
  <c r="Q6" i="3"/>
  <c r="I6" i="3"/>
  <c r="U7" i="3"/>
  <c r="L23" i="3"/>
  <c r="J23" i="3"/>
  <c r="I22" i="3"/>
  <c r="T17" i="3"/>
  <c r="Q23" i="3"/>
  <c r="I23" i="3"/>
  <c r="P22" i="3"/>
  <c r="H22" i="3"/>
  <c r="V20" i="3"/>
  <c r="N20" i="3"/>
  <c r="F20" i="3"/>
  <c r="T18" i="3"/>
  <c r="L18" i="3"/>
  <c r="S17" i="3"/>
  <c r="K17" i="3"/>
  <c r="R16" i="3"/>
  <c r="J16" i="3"/>
  <c r="Q15" i="3"/>
  <c r="I15" i="3"/>
  <c r="P14" i="3"/>
  <c r="H14" i="3"/>
  <c r="G13" i="3"/>
  <c r="T10" i="3"/>
  <c r="L10" i="3"/>
  <c r="S9" i="3"/>
  <c r="K9" i="3"/>
  <c r="R8" i="3"/>
  <c r="J8" i="3"/>
  <c r="Q7" i="3"/>
  <c r="I7" i="3"/>
  <c r="P6" i="3"/>
  <c r="H6" i="3"/>
  <c r="G5" i="3"/>
  <c r="M23" i="3"/>
  <c r="S23" i="3"/>
  <c r="M17" i="3"/>
  <c r="K15" i="3"/>
  <c r="M9" i="3"/>
  <c r="Q22" i="3"/>
  <c r="M18" i="3"/>
  <c r="P23" i="3"/>
  <c r="H23" i="3"/>
  <c r="O22" i="3"/>
  <c r="G22" i="3"/>
  <c r="S18" i="3"/>
  <c r="K18" i="3"/>
  <c r="R17" i="3"/>
  <c r="J17" i="3"/>
  <c r="Q16" i="3"/>
  <c r="I16" i="3"/>
  <c r="P15" i="3"/>
  <c r="H15" i="3"/>
  <c r="O14" i="3"/>
  <c r="G14" i="3"/>
  <c r="V13" i="3"/>
  <c r="N13" i="3"/>
  <c r="T11" i="3"/>
  <c r="L11" i="3"/>
  <c r="S10" i="3"/>
  <c r="K10" i="3"/>
  <c r="R9" i="3"/>
  <c r="J9" i="3"/>
  <c r="Q8" i="3"/>
  <c r="I8" i="3"/>
  <c r="P7" i="3"/>
  <c r="H7" i="3"/>
  <c r="O6" i="3"/>
  <c r="G6" i="3"/>
  <c r="V5" i="3"/>
  <c r="N5" i="3"/>
  <c r="M15" i="3"/>
  <c r="M7" i="3"/>
  <c r="U17" i="3"/>
  <c r="K7" i="3"/>
  <c r="R23" i="3"/>
  <c r="L17" i="3"/>
  <c r="O23" i="3"/>
  <c r="G23" i="3"/>
  <c r="V22" i="3"/>
  <c r="N22" i="3"/>
  <c r="T20" i="3"/>
  <c r="S19" i="3"/>
  <c r="R18" i="3"/>
  <c r="J18" i="3"/>
  <c r="Q17" i="3"/>
  <c r="I17" i="3"/>
  <c r="P16" i="3"/>
  <c r="H16" i="3"/>
  <c r="O15" i="3"/>
  <c r="G15" i="3"/>
  <c r="V14" i="3"/>
  <c r="N14" i="3"/>
  <c r="S11" i="3"/>
  <c r="R10" i="3"/>
  <c r="J10" i="3"/>
  <c r="Q9" i="3"/>
  <c r="I9" i="3"/>
  <c r="P8" i="3"/>
  <c r="H8" i="3"/>
  <c r="O7" i="3"/>
  <c r="G7" i="3"/>
  <c r="V6" i="3"/>
  <c r="N6" i="3"/>
  <c r="V23" i="3"/>
  <c r="N23" i="3"/>
  <c r="Q18" i="3"/>
  <c r="P17" i="3"/>
  <c r="O16" i="3"/>
  <c r="V15" i="3"/>
  <c r="N15" i="3"/>
  <c r="Q10" i="3"/>
  <c r="P9" i="3"/>
  <c r="O8" i="3"/>
  <c r="V7" i="3"/>
  <c r="N7" i="3"/>
  <c r="C21" i="1"/>
  <c r="D21" i="1"/>
  <c r="C22" i="1"/>
  <c r="D22" i="1"/>
  <c r="C13" i="1"/>
  <c r="D13" i="1"/>
  <c r="AF5" i="2"/>
  <c r="F24" i="2"/>
  <c r="F6" i="2"/>
  <c r="F8" i="2"/>
  <c r="F9" i="2"/>
  <c r="F11" i="2"/>
  <c r="F12" i="2"/>
  <c r="F19" i="2"/>
  <c r="F18" i="2"/>
  <c r="F17" i="2"/>
  <c r="F13" i="2"/>
  <c r="F14" i="2"/>
  <c r="F20" i="2"/>
  <c r="F21" i="2"/>
  <c r="F22" i="2"/>
  <c r="F23" i="2"/>
  <c r="D16" i="1" l="1"/>
  <c r="Y2" i="1"/>
  <c r="C3" i="1" l="1"/>
  <c r="X2" i="1"/>
  <c r="H1" i="5"/>
  <c r="C19" i="5"/>
  <c r="D19" i="5"/>
  <c r="C21" i="5" l="1"/>
  <c r="AV4" i="3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AA3" i="2"/>
  <c r="E12" i="1"/>
  <c r="D6" i="2"/>
  <c r="AG5" i="2"/>
  <c r="E11" i="1"/>
  <c r="X11" i="1" s="1"/>
  <c r="C11" i="1" s="1"/>
  <c r="E4" i="3"/>
  <c r="R36" i="1"/>
  <c r="S36" i="1"/>
  <c r="T36" i="1"/>
  <c r="U36" i="1"/>
  <c r="V36" i="1"/>
  <c r="R37" i="1"/>
  <c r="S37" i="1"/>
  <c r="T37" i="1"/>
  <c r="U37" i="1"/>
  <c r="V37" i="1"/>
  <c r="R2" i="3"/>
  <c r="S2" i="3"/>
  <c r="T2" i="3"/>
  <c r="U2" i="3"/>
  <c r="G2" i="3"/>
  <c r="H2" i="3"/>
  <c r="I2" i="3"/>
  <c r="J2" i="3"/>
  <c r="K2" i="3"/>
  <c r="L2" i="3"/>
  <c r="M2" i="3"/>
  <c r="N2" i="3"/>
  <c r="O2" i="3"/>
  <c r="P2" i="3"/>
  <c r="Q2" i="3"/>
  <c r="F2" i="3"/>
  <c r="H36" i="1"/>
  <c r="I36" i="1"/>
  <c r="J36" i="1"/>
  <c r="K36" i="1"/>
  <c r="L36" i="1"/>
  <c r="M36" i="1"/>
  <c r="N36" i="1"/>
  <c r="O36" i="1"/>
  <c r="P36" i="1"/>
  <c r="Q36" i="1"/>
  <c r="G36" i="1"/>
  <c r="AC26" i="2"/>
  <c r="AG26" i="2"/>
  <c r="E23" i="1"/>
  <c r="E24" i="1"/>
  <c r="E25" i="1"/>
  <c r="E26" i="1"/>
  <c r="E27" i="1"/>
  <c r="E28" i="1"/>
  <c r="E29" i="1"/>
  <c r="E30" i="1"/>
  <c r="AG23" i="2"/>
  <c r="AG24" i="2"/>
  <c r="D24" i="2"/>
  <c r="T8" i="1"/>
  <c r="S6" i="1"/>
  <c r="X37" i="1"/>
  <c r="H37" i="1"/>
  <c r="I37" i="1"/>
  <c r="J37" i="1"/>
  <c r="K37" i="1"/>
  <c r="L37" i="1"/>
  <c r="M37" i="1"/>
  <c r="N37" i="1"/>
  <c r="O37" i="1"/>
  <c r="P37" i="1"/>
  <c r="Q37" i="1"/>
  <c r="G37" i="1"/>
  <c r="D39" i="1"/>
  <c r="D37" i="1"/>
  <c r="D44" i="1"/>
  <c r="D43" i="1"/>
  <c r="D19" i="2"/>
  <c r="D20" i="2"/>
  <c r="D21" i="2"/>
  <c r="D22" i="2"/>
  <c r="D23" i="2"/>
  <c r="P33" i="1"/>
  <c r="D4" i="3"/>
  <c r="AG8" i="2"/>
  <c r="AG9" i="2"/>
  <c r="AG11" i="2"/>
  <c r="AG12" i="2"/>
  <c r="AG13" i="2"/>
  <c r="AG14" i="2"/>
  <c r="AG17" i="2"/>
  <c r="AG18" i="2"/>
  <c r="AG19" i="2"/>
  <c r="AG20" i="2"/>
  <c r="AG21" i="2"/>
  <c r="AG22" i="2"/>
  <c r="F9" i="1"/>
  <c r="Y9" i="1"/>
  <c r="H33" i="1"/>
  <c r="G33" i="1"/>
  <c r="I33" i="1"/>
  <c r="J33" i="1"/>
  <c r="K33" i="1"/>
  <c r="L33" i="1"/>
  <c r="M33" i="1"/>
  <c r="N33" i="1"/>
  <c r="O33" i="1"/>
  <c r="Q33" i="1"/>
  <c r="R33" i="1"/>
  <c r="S33" i="1"/>
  <c r="T33" i="1"/>
  <c r="U33" i="1"/>
  <c r="V33" i="1"/>
  <c r="W33" i="1"/>
  <c r="AG6" i="2"/>
  <c r="AQ25" i="3"/>
  <c r="I3" i="1"/>
  <c r="AF22" i="3" l="1"/>
  <c r="AN22" i="3"/>
  <c r="Y22" i="3"/>
  <c r="AG22" i="3"/>
  <c r="AO22" i="3"/>
  <c r="Z22" i="3"/>
  <c r="AH22" i="3"/>
  <c r="AA22" i="3"/>
  <c r="AI22" i="3"/>
  <c r="AB22" i="3"/>
  <c r="AJ22" i="3"/>
  <c r="AC22" i="3"/>
  <c r="AK22" i="3"/>
  <c r="AD22" i="3"/>
  <c r="AL22" i="3"/>
  <c r="AE22" i="3"/>
  <c r="AM22" i="3"/>
  <c r="AD21" i="3"/>
  <c r="AL21" i="3"/>
  <c r="AE21" i="3"/>
  <c r="AM21" i="3"/>
  <c r="AF21" i="3"/>
  <c r="AN21" i="3"/>
  <c r="Y21" i="3"/>
  <c r="AG21" i="3"/>
  <c r="AO21" i="3"/>
  <c r="Z21" i="3"/>
  <c r="AH21" i="3"/>
  <c r="AA21" i="3"/>
  <c r="AI21" i="3"/>
  <c r="AB21" i="3"/>
  <c r="AJ21" i="3"/>
  <c r="AC21" i="3"/>
  <c r="AK21" i="3"/>
  <c r="AF16" i="3"/>
  <c r="AN16" i="3"/>
  <c r="Y16" i="3"/>
  <c r="AG16" i="3"/>
  <c r="AO16" i="3"/>
  <c r="Z16" i="3"/>
  <c r="AH16" i="3"/>
  <c r="AA16" i="3"/>
  <c r="AI16" i="3"/>
  <c r="AB16" i="3"/>
  <c r="AJ16" i="3"/>
  <c r="AC16" i="3"/>
  <c r="AK16" i="3"/>
  <c r="AD16" i="3"/>
  <c r="AL16" i="3"/>
  <c r="AE16" i="3"/>
  <c r="AM16" i="3"/>
  <c r="AD19" i="3"/>
  <c r="AL19" i="3"/>
  <c r="AE19" i="3"/>
  <c r="AM19" i="3"/>
  <c r="AF19" i="3"/>
  <c r="AN19" i="3"/>
  <c r="Y19" i="3"/>
  <c r="AG19" i="3"/>
  <c r="AO19" i="3"/>
  <c r="Z19" i="3"/>
  <c r="AH19" i="3"/>
  <c r="AA19" i="3"/>
  <c r="AI19" i="3"/>
  <c r="AB19" i="3"/>
  <c r="AJ19" i="3"/>
  <c r="AC19" i="3"/>
  <c r="AK19" i="3"/>
  <c r="AB20" i="3"/>
  <c r="AJ20" i="3"/>
  <c r="AC20" i="3"/>
  <c r="AK20" i="3"/>
  <c r="AD20" i="3"/>
  <c r="AL20" i="3"/>
  <c r="AE20" i="3"/>
  <c r="AM20" i="3"/>
  <c r="AF20" i="3"/>
  <c r="AN20" i="3"/>
  <c r="Y20" i="3"/>
  <c r="AG20" i="3"/>
  <c r="AO20" i="3"/>
  <c r="Z20" i="3"/>
  <c r="AH20" i="3"/>
  <c r="AA20" i="3"/>
  <c r="AI20" i="3"/>
  <c r="AA18" i="3"/>
  <c r="AI18" i="3"/>
  <c r="AB18" i="3"/>
  <c r="AJ18" i="3"/>
  <c r="AC18" i="3"/>
  <c r="AK18" i="3"/>
  <c r="AD18" i="3"/>
  <c r="AL18" i="3"/>
  <c r="AE18" i="3"/>
  <c r="AM18" i="3"/>
  <c r="AF18" i="3"/>
  <c r="AN18" i="3"/>
  <c r="Y18" i="3"/>
  <c r="AG18" i="3"/>
  <c r="AO18" i="3"/>
  <c r="Z18" i="3"/>
  <c r="AH18" i="3"/>
  <c r="Y23" i="3"/>
  <c r="AG23" i="3"/>
  <c r="AO23" i="3"/>
  <c r="Z23" i="3"/>
  <c r="AH23" i="3"/>
  <c r="AA23" i="3"/>
  <c r="AI23" i="3"/>
  <c r="AB23" i="3"/>
  <c r="AJ23" i="3"/>
  <c r="AC23" i="3"/>
  <c r="AK23" i="3"/>
  <c r="AD23" i="3"/>
  <c r="AL23" i="3"/>
  <c r="AE23" i="3"/>
  <c r="AM23" i="3"/>
  <c r="AF23" i="3"/>
  <c r="AN23" i="3"/>
  <c r="Z5" i="3"/>
  <c r="AH5" i="3"/>
  <c r="AA5" i="3"/>
  <c r="AI5" i="3"/>
  <c r="AB5" i="3"/>
  <c r="AJ5" i="3"/>
  <c r="AC5" i="3"/>
  <c r="AK5" i="3"/>
  <c r="AD5" i="3"/>
  <c r="AL5" i="3"/>
  <c r="AE5" i="3"/>
  <c r="AM5" i="3"/>
  <c r="AF5" i="3"/>
  <c r="AN5" i="3"/>
  <c r="Y5" i="3"/>
  <c r="AG5" i="3"/>
  <c r="AO5" i="3"/>
  <c r="AF17" i="3"/>
  <c r="AN17" i="3"/>
  <c r="Y17" i="3"/>
  <c r="AG17" i="3"/>
  <c r="AO17" i="3"/>
  <c r="Z17" i="3"/>
  <c r="AH17" i="3"/>
  <c r="AA17" i="3"/>
  <c r="AI17" i="3"/>
  <c r="AB17" i="3"/>
  <c r="AJ17" i="3"/>
  <c r="AC17" i="3"/>
  <c r="AK17" i="3"/>
  <c r="AD17" i="3"/>
  <c r="AL17" i="3"/>
  <c r="AE17" i="3"/>
  <c r="AM17" i="3"/>
  <c r="AA9" i="2"/>
  <c r="AA8" i="2"/>
  <c r="AA10" i="2"/>
  <c r="AA7" i="2"/>
  <c r="J4" i="3"/>
  <c r="AA15" i="2"/>
  <c r="AA16" i="2"/>
  <c r="X29" i="1"/>
  <c r="C29" i="1" s="1"/>
  <c r="X26" i="1"/>
  <c r="D26" i="1" s="1"/>
  <c r="X27" i="1"/>
  <c r="C27" i="1" s="1"/>
  <c r="X12" i="1"/>
  <c r="D12" i="1" s="1"/>
  <c r="X25" i="1"/>
  <c r="C25" i="1" s="1"/>
  <c r="X24" i="1"/>
  <c r="C24" i="1" s="1"/>
  <c r="X30" i="1"/>
  <c r="D30" i="1" s="1"/>
  <c r="F5" i="2"/>
  <c r="D5" i="2" s="1"/>
  <c r="D11" i="1" s="1"/>
  <c r="C26" i="5"/>
  <c r="S5" i="1"/>
  <c r="F4" i="3"/>
  <c r="R4" i="3"/>
  <c r="I4" i="3"/>
  <c r="G4" i="3"/>
  <c r="V4" i="3"/>
  <c r="H4" i="3"/>
  <c r="Q4" i="3"/>
  <c r="P4" i="3"/>
  <c r="O4" i="3"/>
  <c r="N4" i="3"/>
  <c r="U4" i="3"/>
  <c r="M4" i="3"/>
  <c r="T4" i="3"/>
  <c r="L4" i="3"/>
  <c r="S4" i="3"/>
  <c r="K4" i="3"/>
  <c r="Y4" i="3"/>
  <c r="AV25" i="3"/>
  <c r="W4" i="1" s="1"/>
  <c r="C25" i="5" s="1"/>
  <c r="G41" i="1"/>
  <c r="AH4" i="3"/>
  <c r="AO4" i="3"/>
  <c r="AM4" i="3"/>
  <c r="AJ4" i="3"/>
  <c r="AC4" i="3"/>
  <c r="AA4" i="3"/>
  <c r="AB4" i="3"/>
  <c r="AL4" i="3"/>
  <c r="AD4" i="3"/>
  <c r="Z4" i="3"/>
  <c r="AK4" i="3"/>
  <c r="AN4" i="3"/>
  <c r="AE4" i="3"/>
  <c r="AG4" i="3"/>
  <c r="AF4" i="3"/>
  <c r="AI4" i="3"/>
  <c r="X28" i="1"/>
  <c r="X23" i="1"/>
  <c r="B14" i="3" l="1"/>
  <c r="AR14" i="3"/>
  <c r="B15" i="3"/>
  <c r="AR15" i="3"/>
  <c r="AR6" i="3"/>
  <c r="B6" i="3"/>
  <c r="B9" i="3"/>
  <c r="AR9" i="3"/>
  <c r="B7" i="3"/>
  <c r="AR7" i="3"/>
  <c r="AR8" i="3"/>
  <c r="B8" i="3"/>
  <c r="C14" i="1"/>
  <c r="D14" i="1"/>
  <c r="D17" i="1"/>
  <c r="C17" i="1"/>
  <c r="D15" i="1"/>
  <c r="C15" i="1"/>
  <c r="D19" i="1"/>
  <c r="C19" i="1"/>
  <c r="C18" i="1"/>
  <c r="D18" i="1"/>
  <c r="C20" i="1"/>
  <c r="D20" i="1"/>
  <c r="D29" i="1"/>
  <c r="D27" i="1"/>
  <c r="D24" i="1"/>
  <c r="D25" i="1"/>
  <c r="C12" i="1"/>
  <c r="C26" i="1"/>
  <c r="C30" i="1"/>
  <c r="D21" i="5"/>
  <c r="C20" i="5"/>
  <c r="J25" i="3"/>
  <c r="K25" i="3"/>
  <c r="H25" i="3"/>
  <c r="V25" i="3"/>
  <c r="M25" i="3"/>
  <c r="G25" i="3"/>
  <c r="O25" i="3"/>
  <c r="U25" i="3"/>
  <c r="T25" i="3"/>
  <c r="P25" i="3"/>
  <c r="F25" i="3"/>
  <c r="Q25" i="3"/>
  <c r="I25" i="3"/>
  <c r="R25" i="3"/>
  <c r="S25" i="3"/>
  <c r="L25" i="3"/>
  <c r="N25" i="3"/>
  <c r="AL25" i="3"/>
  <c r="T34" i="1" s="1"/>
  <c r="AO25" i="3"/>
  <c r="W34" i="1" s="1"/>
  <c r="AG25" i="3"/>
  <c r="O34" i="1" s="1"/>
  <c r="Z25" i="3"/>
  <c r="H34" i="1" s="1"/>
  <c r="AI25" i="3"/>
  <c r="Q34" i="1" s="1"/>
  <c r="AE25" i="3"/>
  <c r="M34" i="1" s="1"/>
  <c r="AF25" i="3"/>
  <c r="N34" i="1" s="1"/>
  <c r="AA25" i="3"/>
  <c r="I34" i="1" s="1"/>
  <c r="AD25" i="3"/>
  <c r="L34" i="1" s="1"/>
  <c r="AC25" i="3"/>
  <c r="K34" i="1" s="1"/>
  <c r="AM25" i="3"/>
  <c r="U34" i="1" s="1"/>
  <c r="AN25" i="3"/>
  <c r="V34" i="1" s="1"/>
  <c r="AJ25" i="3"/>
  <c r="R34" i="1" s="1"/>
  <c r="Y25" i="3"/>
  <c r="G34" i="1" s="1"/>
  <c r="AH25" i="3"/>
  <c r="P34" i="1" s="1"/>
  <c r="AK25" i="3"/>
  <c r="S34" i="1" s="1"/>
  <c r="AB25" i="3"/>
  <c r="D28" i="1"/>
  <c r="C28" i="1"/>
  <c r="D23" i="1"/>
  <c r="C23" i="1"/>
  <c r="J34" i="1" l="1"/>
  <c r="G42" i="1" s="1"/>
  <c r="C18" i="5" s="1"/>
  <c r="G38" i="1"/>
  <c r="G39" i="1" s="1"/>
  <c r="D22" i="5" s="1"/>
  <c r="Q38" i="1"/>
  <c r="Q39" i="1" s="1"/>
  <c r="U38" i="1"/>
  <c r="U39" i="1" s="1"/>
  <c r="T38" i="1"/>
  <c r="T39" i="1" s="1"/>
  <c r="V38" i="1"/>
  <c r="V39" i="1" s="1"/>
  <c r="I38" i="1"/>
  <c r="I39" i="1" s="1"/>
  <c r="N38" i="1"/>
  <c r="N39" i="1" s="1"/>
  <c r="X38" i="1"/>
  <c r="X39" i="1" s="1"/>
  <c r="D23" i="5" s="1"/>
  <c r="S38" i="1"/>
  <c r="S39" i="1" s="1"/>
  <c r="P38" i="1"/>
  <c r="P39" i="1" s="1"/>
  <c r="L38" i="1"/>
  <c r="L39" i="1" s="1"/>
  <c r="O38" i="1"/>
  <c r="O39" i="1" s="1"/>
  <c r="M38" i="1"/>
  <c r="M39" i="1" s="1"/>
  <c r="H38" i="1"/>
  <c r="H39" i="1" s="1"/>
  <c r="K38" i="1"/>
  <c r="K39" i="1" s="1"/>
  <c r="J38" i="1"/>
  <c r="J39" i="1" s="1"/>
  <c r="R38" i="1"/>
  <c r="R39" i="1" s="1"/>
  <c r="AC5" i="2"/>
  <c r="F11" i="1" s="1"/>
  <c r="Y11" i="1" s="1"/>
  <c r="AC6" i="2"/>
  <c r="C22" i="5" l="1"/>
  <c r="C23" i="5"/>
  <c r="G44" i="1"/>
  <c r="F24" i="1"/>
  <c r="Y24" i="1" s="1"/>
  <c r="F28" i="1"/>
  <c r="Y28" i="1" s="1"/>
  <c r="AA23" i="2"/>
  <c r="AR22" i="3" s="1"/>
  <c r="AA19" i="2"/>
  <c r="AR18" i="3" s="1"/>
  <c r="AA20" i="2"/>
  <c r="AR19" i="3" s="1"/>
  <c r="F23" i="1"/>
  <c r="Y23" i="1" s="1"/>
  <c r="AA14" i="2"/>
  <c r="AA12" i="2"/>
  <c r="AA17" i="2"/>
  <c r="AR16" i="3" s="1"/>
  <c r="AA22" i="2"/>
  <c r="AR21" i="3" s="1"/>
  <c r="AA24" i="2"/>
  <c r="AR23" i="3" s="1"/>
  <c r="AS4" i="3"/>
  <c r="AA13" i="2"/>
  <c r="AA11" i="2"/>
  <c r="F30" i="1"/>
  <c r="Y30" i="1" s="1"/>
  <c r="F25" i="1"/>
  <c r="Y25" i="1" s="1"/>
  <c r="F29" i="1"/>
  <c r="Y29" i="1" s="1"/>
  <c r="AA18" i="2"/>
  <c r="AR17" i="3" s="1"/>
  <c r="F27" i="1"/>
  <c r="Y27" i="1" s="1"/>
  <c r="AA21" i="2"/>
  <c r="AR20" i="3" s="1"/>
  <c r="AA6" i="2"/>
  <c r="F26" i="1"/>
  <c r="Y26" i="1" s="1"/>
  <c r="F12" i="1"/>
  <c r="Y12" i="1" s="1"/>
  <c r="AA5" i="2"/>
  <c r="AR11" i="3" l="1"/>
  <c r="B11" i="3"/>
  <c r="AR12" i="3"/>
  <c r="B12" i="3"/>
  <c r="AR13" i="3"/>
  <c r="B13" i="3"/>
  <c r="B10" i="3"/>
  <c r="AR10" i="3"/>
  <c r="B21" i="3"/>
  <c r="B17" i="3"/>
  <c r="B20" i="3"/>
  <c r="B16" i="3"/>
  <c r="B18" i="3"/>
  <c r="B23" i="3"/>
  <c r="B22" i="3"/>
  <c r="B19" i="3"/>
  <c r="AR4" i="3"/>
  <c r="B4" i="3"/>
  <c r="D20" i="5" l="1"/>
  <c r="G43" i="1" l="1"/>
  <c r="AS25" i="3"/>
  <c r="W6" i="1" l="1"/>
  <c r="W5" i="1" s="1"/>
  <c r="D18" i="5"/>
  <c r="AR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_m0nGo_</author>
  </authors>
  <commentList>
    <comment ref="B2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_m0nGo_:</t>
        </r>
        <r>
          <rPr>
            <sz val="9"/>
            <color indexed="81"/>
            <rFont val="Tahoma"/>
            <family val="2"/>
          </rPr>
          <t xml:space="preserve">
ZeiileWichtig für den Fall der Ausblendung über das Feld Z1 damit Preis = 0 wird und kein Fehler entsteht</t>
        </r>
      </text>
    </comment>
  </commentList>
</comments>
</file>

<file path=xl/sharedStrings.xml><?xml version="1.0" encoding="utf-8"?>
<sst xmlns="http://schemas.openxmlformats.org/spreadsheetml/2006/main" count="239" uniqueCount="159">
  <si>
    <t>SETS</t>
    <phoneticPr fontId="12" type="noConversion"/>
  </si>
  <si>
    <t>S</t>
  </si>
  <si>
    <t>M</t>
  </si>
  <si>
    <t>G netto</t>
    <phoneticPr fontId="12" type="noConversion"/>
  </si>
  <si>
    <t>Preis</t>
    <phoneticPr fontId="12" type="noConversion"/>
  </si>
  <si>
    <t>Gewicht</t>
    <phoneticPr fontId="12" type="noConversion"/>
  </si>
  <si>
    <t>kg</t>
    <phoneticPr fontId="12" type="noConversion"/>
  </si>
  <si>
    <t>XL</t>
  </si>
  <si>
    <t>G netto</t>
    <phoneticPr fontId="12" type="noConversion"/>
  </si>
  <si>
    <t>Gewicht</t>
    <phoneticPr fontId="12" type="noConversion"/>
  </si>
  <si>
    <t>SPAX</t>
    <phoneticPr fontId="12" type="noConversion"/>
  </si>
  <si>
    <t>Preis</t>
    <phoneticPr fontId="12" type="noConversion"/>
  </si>
  <si>
    <t>E inkl. 19%</t>
    <phoneticPr fontId="12" type="noConversion"/>
  </si>
  <si>
    <t xml:space="preserve">Notes: </t>
  </si>
  <si>
    <t>Schraubenlänge ZYLINDERKOPF</t>
    <phoneticPr fontId="12" type="noConversion"/>
  </si>
  <si>
    <t>Anzahl</t>
    <phoneticPr fontId="12" type="noConversion"/>
  </si>
  <si>
    <t>SETS</t>
    <phoneticPr fontId="12" type="noConversion"/>
  </si>
  <si>
    <t>L</t>
  </si>
  <si>
    <t>SPAX</t>
    <phoneticPr fontId="12" type="noConversion"/>
  </si>
  <si>
    <t>QTY.</t>
  </si>
  <si>
    <t>ON:</t>
  </si>
  <si>
    <t>Date:</t>
  </si>
  <si>
    <t>TOTAL</t>
  </si>
  <si>
    <t>HOLDS</t>
  </si>
  <si>
    <t>Description</t>
  </si>
  <si>
    <t>Weight (kg)</t>
  </si>
  <si>
    <t>Total sets</t>
  </si>
  <si>
    <t>Total sets per color</t>
  </si>
  <si>
    <t>Total holds per color</t>
  </si>
  <si>
    <t>Total holds</t>
  </si>
  <si>
    <t>Brutto</t>
  </si>
  <si>
    <t/>
  </si>
  <si>
    <t>Order</t>
  </si>
  <si>
    <t>WHITE</t>
  </si>
  <si>
    <t>BLACK</t>
  </si>
  <si>
    <t>BLUE</t>
  </si>
  <si>
    <t>RED</t>
  </si>
  <si>
    <t>YELLOW</t>
  </si>
  <si>
    <t>GREEN</t>
  </si>
  <si>
    <t>ORANGE</t>
  </si>
  <si>
    <t>BROWN</t>
  </si>
  <si>
    <t>VIOLET</t>
  </si>
  <si>
    <t>MINT</t>
  </si>
  <si>
    <t>LIGHT GREY</t>
  </si>
  <si>
    <t>DARK GREY</t>
  </si>
  <si>
    <t>PINK FLUO</t>
  </si>
  <si>
    <t>ORANGE FLUO</t>
  </si>
  <si>
    <t>GREEN FLUO</t>
  </si>
  <si>
    <t>YELLOW FLUO</t>
  </si>
  <si>
    <t>Spax</t>
  </si>
  <si>
    <t>QTY./ Holds</t>
  </si>
  <si>
    <t>XS</t>
  </si>
  <si>
    <t>XXL</t>
  </si>
  <si>
    <t>Leerzeile für Z=1</t>
  </si>
  <si>
    <t>Art.-No.</t>
  </si>
  <si>
    <t>Anzahl</t>
  </si>
  <si>
    <t>M-L</t>
  </si>
  <si>
    <t>Empty</t>
  </si>
  <si>
    <t>PURPLE</t>
  </si>
  <si>
    <t>Size / Edition</t>
  </si>
  <si>
    <t>Screw-on calc</t>
  </si>
  <si>
    <t>Size for Orderfile</t>
  </si>
  <si>
    <t xml:space="preserve">Size </t>
  </si>
  <si>
    <t>XXX XXX</t>
  </si>
  <si>
    <t>22_01_11</t>
  </si>
  <si>
    <t>G netto fin</t>
  </si>
  <si>
    <t>SchraubenPreis in € (netto)</t>
  </si>
  <si>
    <t>Screws length</t>
  </si>
  <si>
    <t>No</t>
  </si>
  <si>
    <t>Screws count</t>
  </si>
  <si>
    <t>Packing:</t>
  </si>
  <si>
    <t>Screws:</t>
  </si>
  <si>
    <t>¹ +5% for Holds / +20% for Macros</t>
  </si>
  <si>
    <t>RAL 9001*</t>
  </si>
  <si>
    <t>RAL 9004*</t>
  </si>
  <si>
    <t>RAL 3020*</t>
  </si>
  <si>
    <t>RAL 1023*</t>
  </si>
  <si>
    <t>RAL 6037*</t>
  </si>
  <si>
    <t>RAL 2011*</t>
  </si>
  <si>
    <t>RAL 8003*</t>
  </si>
  <si>
    <t>RAL 4008*</t>
  </si>
  <si>
    <t>NCS 4050-R60B*</t>
  </si>
  <si>
    <t>RAL 6027*</t>
  </si>
  <si>
    <t>RAL 7038*</t>
  </si>
  <si>
    <t>RAL 7037*</t>
  </si>
  <si>
    <t>RAL 4003*</t>
  </si>
  <si>
    <t>RAL 2008*</t>
  </si>
  <si>
    <t>RAL 6018*</t>
  </si>
  <si>
    <t>RAL 1026*</t>
  </si>
  <si>
    <t>*All color specifications (RAL and NCS) are best possible approximations. Slight deviations can not be excluded</t>
  </si>
  <si>
    <t>Color scale at end of table (RAL/NCS)</t>
  </si>
  <si>
    <t>Bundle</t>
  </si>
  <si>
    <t>RAL 5015*</t>
  </si>
  <si>
    <t>XS-XL</t>
  </si>
  <si>
    <t>Rev:</t>
  </si>
  <si>
    <t>Billing data:</t>
  </si>
  <si>
    <t>City</t>
  </si>
  <si>
    <t>ZIP:</t>
  </si>
  <si>
    <t>Company Name:</t>
  </si>
  <si>
    <t>Company address:</t>
  </si>
  <si>
    <t>VAT number:</t>
  </si>
  <si>
    <t>Responsible person:</t>
  </si>
  <si>
    <t>Mobilnumber:</t>
  </si>
  <si>
    <t>E-Mail:</t>
  </si>
  <si>
    <t>Delivery data:</t>
  </si>
  <si>
    <t>Overview:</t>
  </si>
  <si>
    <t>PE Holds:</t>
  </si>
  <si>
    <t>PU Holds:</t>
  </si>
  <si>
    <t>Macros:</t>
  </si>
  <si>
    <t>Product</t>
  </si>
  <si>
    <t>Pieces</t>
  </si>
  <si>
    <t>Price</t>
  </si>
  <si>
    <t>Volumes:</t>
  </si>
  <si>
    <t>Holds weight total:</t>
  </si>
  <si>
    <t>Volumes weight total:</t>
  </si>
  <si>
    <t>Kendo Set</t>
  </si>
  <si>
    <t>Kendo Jugs 1</t>
  </si>
  <si>
    <t>Kendo Edges 1</t>
  </si>
  <si>
    <t>K 001-017</t>
  </si>
  <si>
    <t>K 001</t>
  </si>
  <si>
    <t>K 002</t>
  </si>
  <si>
    <t>K 003</t>
  </si>
  <si>
    <t>K 004</t>
  </si>
  <si>
    <t>K 005</t>
  </si>
  <si>
    <t>K 006</t>
  </si>
  <si>
    <t>K 007</t>
  </si>
  <si>
    <t>K 010</t>
  </si>
  <si>
    <t>K 011</t>
  </si>
  <si>
    <t>K 012</t>
  </si>
  <si>
    <t>K 013</t>
  </si>
  <si>
    <t>K 014</t>
  </si>
  <si>
    <t>K 015</t>
  </si>
  <si>
    <t>K 016</t>
  </si>
  <si>
    <t>K 017</t>
  </si>
  <si>
    <t>Kendo Edges 2</t>
  </si>
  <si>
    <t>XXl</t>
  </si>
  <si>
    <t>Kendo Edges 3</t>
  </si>
  <si>
    <t>Kendo Crimps 1</t>
  </si>
  <si>
    <t>Kendo Plates 1</t>
  </si>
  <si>
    <t>Kendo Footholds 1</t>
  </si>
  <si>
    <t>Kendo Footholds 2</t>
  </si>
  <si>
    <t>Kendo Good Edges 1</t>
  </si>
  <si>
    <t>Kendo Bad Edges 1</t>
  </si>
  <si>
    <t>Kendo Good Edges 2</t>
  </si>
  <si>
    <t xml:space="preserve">Kendo Edges </t>
  </si>
  <si>
    <t>Orderform</t>
  </si>
  <si>
    <t>Kendo Bad Edges 2</t>
  </si>
  <si>
    <t>1.2</t>
  </si>
  <si>
    <t>Kendo Jugs 2</t>
  </si>
  <si>
    <t>Spax:</t>
  </si>
  <si>
    <t>K 008</t>
  </si>
  <si>
    <t>K 009</t>
  </si>
  <si>
    <t>*NEW* Kendo Good Jugs 2</t>
  </si>
  <si>
    <t>*NEW* Kendo Good Jugs 3</t>
  </si>
  <si>
    <t>*NEW* Kendo Crimps 2</t>
  </si>
  <si>
    <t>K 018</t>
  </si>
  <si>
    <t>K 020</t>
  </si>
  <si>
    <t>*NEW* Kendo Good Jugs 1</t>
  </si>
  <si>
    <t>*NEW* Kendo Good Jugs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</si>
</sst>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\ &quot;kg&quot;"/>
    <numFmt numFmtId="166" formatCode="#,##0.00&quot;€&quot;"/>
    <numFmt numFmtId="167" formatCode="0.00\ &quot;kg&quot;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4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8"/>
      <name val="Verdana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8"/>
      <color indexed="8"/>
      <name val="Calibri"/>
      <family val="2"/>
    </font>
    <font>
      <sz val="14"/>
      <color rgb="FF000000"/>
      <name val="Calibri"/>
      <family val="2"/>
      <charset val="238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</font>
    <font>
      <sz val="9"/>
      <color theme="0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theme="0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b/>
      <sz val="2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8B29"/>
        <bgColor indexed="64"/>
      </patternFill>
    </fill>
    <fill>
      <patternFill patternType="solid">
        <fgColor rgb="FFE26E0E"/>
        <bgColor indexed="64"/>
      </patternFill>
    </fill>
    <fill>
      <patternFill patternType="solid">
        <fgColor rgb="FF7E4B26"/>
        <bgColor indexed="64"/>
      </patternFill>
    </fill>
    <fill>
      <patternFill patternType="solid">
        <fgColor rgb="FFB9CEAC"/>
        <bgColor indexed="64"/>
      </patternFill>
    </fill>
    <fill>
      <patternFill patternType="solid">
        <fgColor rgb="FFB0B0A9"/>
        <bgColor indexed="64"/>
      </patternFill>
    </fill>
    <fill>
      <patternFill patternType="solid">
        <fgColor rgb="FF7A7B7A"/>
        <bgColor indexed="64"/>
      </patternFill>
    </fill>
    <fill>
      <patternFill patternType="solid">
        <fgColor rgb="FFFF00FF"/>
        <bgColor auto="1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2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1" fillId="0" borderId="0"/>
  </cellStyleXfs>
  <cellXfs count="201">
    <xf numFmtId="0" fontId="0" fillId="0" borderId="0" xfId="0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7" fillId="3" borderId="9" xfId="0" applyFont="1" applyFill="1" applyBorder="1" applyAlignment="1">
      <alignment horizontal="center"/>
    </xf>
    <xf numFmtId="0" fontId="17" fillId="0" borderId="1" xfId="0" applyFont="1" applyBorder="1"/>
    <xf numFmtId="0" fontId="0" fillId="0" borderId="2" xfId="0" applyBorder="1"/>
    <xf numFmtId="0" fontId="13" fillId="3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0" borderId="0" xfId="0" applyFont="1"/>
    <xf numFmtId="0" fontId="15" fillId="0" borderId="0" xfId="0" applyFont="1" applyAlignment="1">
      <alignment horizontal="right"/>
    </xf>
    <xf numFmtId="0" fontId="0" fillId="3" borderId="1" xfId="0" applyFill="1" applyBorder="1" applyAlignment="1">
      <alignment horizontal="center"/>
    </xf>
    <xf numFmtId="2" fontId="17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4" fontId="13" fillId="3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14" xfId="0" applyFont="1" applyBorder="1" applyAlignment="1">
      <alignment horizontal="center" vertical="center" textRotation="90"/>
    </xf>
    <xf numFmtId="0" fontId="0" fillId="4" borderId="15" xfId="0" applyFill="1" applyBorder="1"/>
    <xf numFmtId="0" fontId="0" fillId="4" borderId="16" xfId="0" applyFill="1" applyBorder="1"/>
    <xf numFmtId="0" fontId="0" fillId="4" borderId="11" xfId="0" applyFill="1" applyBorder="1"/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19" fillId="0" borderId="0" xfId="0" applyFont="1"/>
    <xf numFmtId="0" fontId="8" fillId="0" borderId="0" xfId="0" applyFont="1" applyAlignment="1">
      <alignment horizontal="center"/>
    </xf>
    <xf numFmtId="0" fontId="23" fillId="0" borderId="0" xfId="0" applyFont="1"/>
    <xf numFmtId="0" fontId="14" fillId="0" borderId="0" xfId="0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15" fillId="0" borderId="0" xfId="0" applyNumberFormat="1" applyFont="1"/>
    <xf numFmtId="0" fontId="3" fillId="0" borderId="0" xfId="0" applyFont="1" applyAlignment="1">
      <alignment horizontal="left"/>
    </xf>
    <xf numFmtId="0" fontId="17" fillId="3" borderId="4" xfId="0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13" fillId="3" borderId="6" xfId="0" applyNumberFormat="1" applyFont="1" applyFill="1" applyBorder="1" applyAlignment="1">
      <alignment horizontal="center"/>
    </xf>
    <xf numFmtId="164" fontId="13" fillId="3" borderId="21" xfId="0" applyNumberFormat="1" applyFont="1" applyFill="1" applyBorder="1" applyAlignment="1">
      <alignment horizontal="center"/>
    </xf>
    <xf numFmtId="0" fontId="7" fillId="5" borderId="4" xfId="0" applyFont="1" applyFill="1" applyBorder="1" applyAlignment="1" applyProtection="1">
      <alignment horizontal="center"/>
      <protection locked="0"/>
    </xf>
    <xf numFmtId="0" fontId="27" fillId="6" borderId="1" xfId="0" applyFont="1" applyFill="1" applyBorder="1" applyAlignment="1">
      <alignment horizontal="center" vertical="center" textRotation="90"/>
    </xf>
    <xf numFmtId="0" fontId="28" fillId="7" borderId="1" xfId="0" applyFont="1" applyFill="1" applyBorder="1" applyAlignment="1">
      <alignment horizontal="center" vertical="center" textRotation="90"/>
    </xf>
    <xf numFmtId="0" fontId="30" fillId="8" borderId="1" xfId="0" applyFont="1" applyFill="1" applyBorder="1" applyAlignment="1">
      <alignment horizontal="center" vertical="center" textRotation="90"/>
    </xf>
    <xf numFmtId="0" fontId="30" fillId="9" borderId="1" xfId="0" applyFont="1" applyFill="1" applyBorder="1" applyAlignment="1">
      <alignment horizontal="center" vertical="center" textRotation="90"/>
    </xf>
    <xf numFmtId="0" fontId="30" fillId="10" borderId="1" xfId="0" applyFont="1" applyFill="1" applyBorder="1" applyAlignment="1">
      <alignment horizontal="center" vertical="center" textRotation="90"/>
    </xf>
    <xf numFmtId="0" fontId="30" fillId="11" borderId="1" xfId="0" applyFont="1" applyFill="1" applyBorder="1" applyAlignment="1">
      <alignment horizontal="center" vertical="center" textRotation="90"/>
    </xf>
    <xf numFmtId="0" fontId="30" fillId="12" borderId="1" xfId="0" applyFont="1" applyFill="1" applyBorder="1" applyAlignment="1">
      <alignment horizontal="center" vertical="center" textRotation="90"/>
    </xf>
    <xf numFmtId="0" fontId="30" fillId="13" borderId="1" xfId="0" applyFont="1" applyFill="1" applyBorder="1" applyAlignment="1">
      <alignment horizontal="center" vertical="center" textRotation="90"/>
    </xf>
    <xf numFmtId="0" fontId="30" fillId="14" borderId="1" xfId="0" applyFont="1" applyFill="1" applyBorder="1" applyAlignment="1">
      <alignment horizontal="center" vertical="center" textRotation="90"/>
    </xf>
    <xf numFmtId="0" fontId="30" fillId="15" borderId="1" xfId="0" applyFont="1" applyFill="1" applyBorder="1" applyAlignment="1">
      <alignment horizontal="center" vertical="center" textRotation="90"/>
    </xf>
    <xf numFmtId="0" fontId="30" fillId="16" borderId="1" xfId="0" applyFont="1" applyFill="1" applyBorder="1" applyAlignment="1">
      <alignment horizontal="center" vertical="center" textRotation="90"/>
    </xf>
    <xf numFmtId="0" fontId="28" fillId="17" borderId="1" xfId="0" applyFont="1" applyFill="1" applyBorder="1" applyAlignment="1">
      <alignment horizontal="center" vertical="center" textRotation="90"/>
    </xf>
    <xf numFmtId="0" fontId="29" fillId="2" borderId="1" xfId="0" applyFont="1" applyFill="1" applyBorder="1" applyAlignment="1">
      <alignment horizontal="center" vertical="center" textRotation="90"/>
    </xf>
    <xf numFmtId="0" fontId="30" fillId="18" borderId="1" xfId="0" applyFont="1" applyFill="1" applyBorder="1" applyAlignment="1">
      <alignment horizontal="center" vertical="center" textRotation="90"/>
    </xf>
    <xf numFmtId="0" fontId="13" fillId="6" borderId="1" xfId="0" applyFont="1" applyFill="1" applyBorder="1"/>
    <xf numFmtId="0" fontId="13" fillId="6" borderId="22" xfId="0" applyFont="1" applyFill="1" applyBorder="1"/>
    <xf numFmtId="0" fontId="30" fillId="0" borderId="0" xfId="0" applyFont="1" applyAlignment="1">
      <alignment horizontal="center" vertical="center" textRotation="90"/>
    </xf>
    <xf numFmtId="0" fontId="30" fillId="19" borderId="1" xfId="0" applyFont="1" applyFill="1" applyBorder="1" applyAlignment="1">
      <alignment horizontal="center" vertical="center" textRotation="90"/>
    </xf>
    <xf numFmtId="164" fontId="0" fillId="0" borderId="0" xfId="0" applyNumberFormat="1"/>
    <xf numFmtId="0" fontId="30" fillId="13" borderId="2" xfId="0" applyFont="1" applyFill="1" applyBorder="1" applyAlignment="1">
      <alignment horizontal="center" vertical="center" textRotation="90"/>
    </xf>
    <xf numFmtId="0" fontId="20" fillId="0" borderId="17" xfId="0" applyFont="1" applyBorder="1" applyAlignment="1">
      <alignment horizontal="center" vertical="center" wrapText="1"/>
    </xf>
    <xf numFmtId="0" fontId="30" fillId="14" borderId="23" xfId="0" applyFont="1" applyFill="1" applyBorder="1" applyAlignment="1">
      <alignment horizontal="center" vertical="center" textRotation="90"/>
    </xf>
    <xf numFmtId="0" fontId="30" fillId="19" borderId="24" xfId="0" applyFont="1" applyFill="1" applyBorder="1" applyAlignment="1">
      <alignment horizontal="center" vertical="center" textRotation="90"/>
    </xf>
    <xf numFmtId="0" fontId="30" fillId="15" borderId="24" xfId="0" applyFont="1" applyFill="1" applyBorder="1" applyAlignment="1">
      <alignment horizontal="center" vertical="center" textRotation="90"/>
    </xf>
    <xf numFmtId="0" fontId="30" fillId="16" borderId="25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/>
    </xf>
    <xf numFmtId="0" fontId="7" fillId="6" borderId="3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0" fontId="10" fillId="3" borderId="20" xfId="0" applyFont="1" applyFill="1" applyBorder="1" applyAlignment="1">
      <alignment horizontal="center"/>
    </xf>
    <xf numFmtId="0" fontId="38" fillId="0" borderId="1" xfId="0" applyFont="1" applyBorder="1"/>
    <xf numFmtId="0" fontId="38" fillId="0" borderId="0" xfId="0" applyFont="1"/>
    <xf numFmtId="2" fontId="17" fillId="0" borderId="1" xfId="0" applyNumberFormat="1" applyFont="1" applyBorder="1"/>
    <xf numFmtId="0" fontId="17" fillId="3" borderId="21" xfId="0" applyFont="1" applyFill="1" applyBorder="1" applyAlignment="1">
      <alignment horizontal="center"/>
    </xf>
    <xf numFmtId="0" fontId="7" fillId="6" borderId="19" xfId="0" applyFont="1" applyFill="1" applyBorder="1" applyAlignment="1" applyProtection="1">
      <alignment horizontal="center"/>
      <protection locked="0"/>
    </xf>
    <xf numFmtId="0" fontId="7" fillId="5" borderId="20" xfId="0" applyFont="1" applyFill="1" applyBorder="1" applyAlignment="1" applyProtection="1">
      <alignment horizontal="center"/>
      <protection locked="0"/>
    </xf>
    <xf numFmtId="0" fontId="7" fillId="6" borderId="20" xfId="0" applyFont="1" applyFill="1" applyBorder="1" applyAlignment="1" applyProtection="1">
      <alignment horizontal="center"/>
      <protection locked="0"/>
    </xf>
    <xf numFmtId="0" fontId="17" fillId="3" borderId="6" xfId="0" applyFont="1" applyFill="1" applyBorder="1" applyAlignment="1">
      <alignment horizontal="center"/>
    </xf>
    <xf numFmtId="0" fontId="30" fillId="20" borderId="1" xfId="0" applyFont="1" applyFill="1" applyBorder="1" applyAlignment="1">
      <alignment horizontal="center" vertical="center" textRotation="90"/>
    </xf>
    <xf numFmtId="0" fontId="30" fillId="0" borderId="0" xfId="0" applyFont="1"/>
    <xf numFmtId="0" fontId="7" fillId="5" borderId="6" xfId="0" applyFont="1" applyFill="1" applyBorder="1" applyAlignment="1" applyProtection="1">
      <alignment horizontal="center"/>
      <protection locked="0"/>
    </xf>
    <xf numFmtId="0" fontId="7" fillId="5" borderId="21" xfId="0" applyFont="1" applyFill="1" applyBorder="1" applyAlignment="1" applyProtection="1">
      <alignment horizontal="center"/>
      <protection locked="0"/>
    </xf>
    <xf numFmtId="0" fontId="7" fillId="5" borderId="8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2" fillId="6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5" xfId="0" applyFill="1" applyBorder="1"/>
    <xf numFmtId="0" fontId="0" fillId="5" borderId="16" xfId="0" applyFill="1" applyBorder="1"/>
    <xf numFmtId="164" fontId="0" fillId="5" borderId="23" xfId="0" applyNumberFormat="1" applyFill="1" applyBorder="1"/>
    <xf numFmtId="164" fontId="10" fillId="5" borderId="24" xfId="0" applyNumberFormat="1" applyFont="1" applyFill="1" applyBorder="1"/>
    <xf numFmtId="164" fontId="0" fillId="5" borderId="24" xfId="0" applyNumberFormat="1" applyFill="1" applyBorder="1"/>
    <xf numFmtId="164" fontId="0" fillId="5" borderId="25" xfId="0" applyNumberFormat="1" applyFill="1" applyBorder="1"/>
    <xf numFmtId="0" fontId="0" fillId="6" borderId="0" xfId="0" applyFill="1"/>
    <xf numFmtId="164" fontId="40" fillId="6" borderId="0" xfId="0" applyNumberFormat="1" applyFont="1" applyFill="1" applyAlignment="1">
      <alignment vertical="center"/>
    </xf>
    <xf numFmtId="3" fontId="39" fillId="3" borderId="1" xfId="0" applyNumberFormat="1" applyFont="1" applyFill="1" applyBorder="1" applyAlignment="1">
      <alignment vertical="center"/>
    </xf>
    <xf numFmtId="164" fontId="41" fillId="6" borderId="1" xfId="0" applyNumberFormat="1" applyFont="1" applyFill="1" applyBorder="1" applyAlignment="1">
      <alignment vertical="center"/>
    </xf>
    <xf numFmtId="166" fontId="41" fillId="3" borderId="1" xfId="0" applyNumberFormat="1" applyFont="1" applyFill="1" applyBorder="1" applyAlignment="1">
      <alignment vertical="center"/>
    </xf>
    <xf numFmtId="166" fontId="40" fillId="0" borderId="0" xfId="0" applyNumberFormat="1" applyFont="1" applyAlignment="1">
      <alignment vertical="center"/>
    </xf>
    <xf numFmtId="0" fontId="0" fillId="0" borderId="15" xfId="0" applyBorder="1"/>
    <xf numFmtId="0" fontId="0" fillId="0" borderId="16" xfId="0" applyBorder="1"/>
    <xf numFmtId="164" fontId="0" fillId="0" borderId="16" xfId="0" applyNumberFormat="1" applyBorder="1"/>
    <xf numFmtId="0" fontId="2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0" fillId="0" borderId="0" xfId="0" applyProtection="1">
      <protection locked="0"/>
    </xf>
    <xf numFmtId="0" fontId="44" fillId="0" borderId="0" xfId="0" applyFont="1" applyAlignment="1">
      <alignment horizontal="left"/>
    </xf>
    <xf numFmtId="0" fontId="17" fillId="21" borderId="1" xfId="0" applyFont="1" applyFill="1" applyBorder="1" applyAlignment="1">
      <alignment horizontal="center"/>
    </xf>
    <xf numFmtId="0" fontId="32" fillId="0" borderId="0" xfId="0" applyFont="1"/>
    <xf numFmtId="0" fontId="13" fillId="0" borderId="0" xfId="0" applyFont="1" applyAlignment="1">
      <alignment horizontal="left"/>
    </xf>
    <xf numFmtId="0" fontId="15" fillId="0" borderId="0" xfId="0" applyFont="1"/>
    <xf numFmtId="0" fontId="10" fillId="0" borderId="5" xfId="0" applyFont="1" applyBorder="1" applyAlignment="1">
      <alignment horizontal="left"/>
    </xf>
    <xf numFmtId="14" fontId="14" fillId="0" borderId="0" xfId="0" applyNumberFormat="1" applyFont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 vertical="top"/>
    </xf>
    <xf numFmtId="1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4" fontId="14" fillId="0" borderId="1" xfId="0" applyNumberFormat="1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4" fontId="1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 vertical="top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>
      <alignment horizontal="center"/>
    </xf>
    <xf numFmtId="3" fontId="14" fillId="0" borderId="1" xfId="0" applyNumberFormat="1" applyFont="1" applyBorder="1" applyAlignment="1">
      <alignment horizontal="center"/>
    </xf>
    <xf numFmtId="49" fontId="10" fillId="0" borderId="13" xfId="0" applyNumberFormat="1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49" fontId="10" fillId="0" borderId="5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right"/>
    </xf>
    <xf numFmtId="0" fontId="33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14" fillId="0" borderId="17" xfId="0" applyNumberFormat="1" applyFont="1" applyBorder="1" applyAlignment="1">
      <alignment horizontal="center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5" xfId="0" applyFont="1" applyBorder="1" applyAlignment="1">
      <alignment horizontal="left"/>
    </xf>
    <xf numFmtId="0" fontId="43" fillId="0" borderId="0" xfId="0" applyFont="1" applyAlignment="1" applyProtection="1">
      <alignment horizontal="center" vertical="center"/>
      <protection locked="0"/>
    </xf>
    <xf numFmtId="0" fontId="13" fillId="0" borderId="13" xfId="0" applyFont="1" applyBorder="1" applyAlignment="1">
      <alignment horizontal="center"/>
    </xf>
    <xf numFmtId="0" fontId="21" fillId="0" borderId="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13" fillId="6" borderId="1" xfId="0" applyFont="1" applyFill="1" applyBorder="1" applyAlignment="1">
      <alignment horizontal="center"/>
    </xf>
    <xf numFmtId="3" fontId="39" fillId="3" borderId="2" xfId="0" applyNumberFormat="1" applyFont="1" applyFill="1" applyBorder="1" applyAlignment="1">
      <alignment horizontal="center" vertical="center"/>
    </xf>
    <xf numFmtId="3" fontId="39" fillId="3" borderId="17" xfId="0" applyNumberFormat="1" applyFont="1" applyFill="1" applyBorder="1" applyAlignment="1">
      <alignment horizontal="center" vertical="center"/>
    </xf>
    <xf numFmtId="14" fontId="14" fillId="0" borderId="0" xfId="0" applyNumberFormat="1" applyFont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2" fillId="0" borderId="0" xfId="0" applyFont="1" applyAlignment="1">
      <alignment horizontal="left"/>
    </xf>
    <xf numFmtId="0" fontId="0" fillId="0" borderId="32" xfId="0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41" fillId="6" borderId="2" xfId="0" applyNumberFormat="1" applyFont="1" applyFill="1" applyBorder="1" applyAlignment="1">
      <alignment horizontal="center" vertical="center"/>
    </xf>
    <xf numFmtId="164" fontId="41" fillId="6" borderId="17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66" fontId="41" fillId="3" borderId="2" xfId="0" applyNumberFormat="1" applyFont="1" applyFill="1" applyBorder="1" applyAlignment="1">
      <alignment horizontal="center" vertical="center"/>
    </xf>
    <xf numFmtId="166" fontId="41" fillId="3" borderId="17" xfId="0" applyNumberFormat="1" applyFont="1" applyFill="1" applyBorder="1" applyAlignment="1">
      <alignment horizontal="center" vertical="center"/>
    </xf>
  </cellXfs>
  <cellStyles count="9">
    <cellStyle name="Besuchter Hyperlink" xfId="2" builtinId="9" hidden="1"/>
    <cellStyle name="Link" xfId="1" builtinId="8" hidden="1"/>
    <cellStyle name="Standard" xfId="0" builtinId="0"/>
    <cellStyle name="Standard 2" xfId="3" xr:uid="{00000000-0005-0000-0000-000003000000}"/>
    <cellStyle name="Standard 3" xfId="5" xr:uid="{00000000-0005-0000-0000-000004000000}"/>
    <cellStyle name="Standard 4" xfId="4" xr:uid="{00000000-0005-0000-0000-000005000000}"/>
    <cellStyle name="Standard 4 2" xfId="8" xr:uid="{00000000-0005-0000-0000-000006000000}"/>
    <cellStyle name="Standard 5" xfId="6" xr:uid="{00000000-0005-0000-0000-000007000000}"/>
    <cellStyle name="Standard 5 2" xfId="7" xr:uid="{00000000-0005-0000-0000-000008000000}"/>
  </cellStyles>
  <dxfs count="0"/>
  <tableStyles count="0" defaultTableStyle="TableStyleMedium9"/>
  <colors>
    <mruColors>
      <color rgb="FFC3996F"/>
      <color rgb="FFCCFFFF"/>
      <color rgb="FFFFFF00"/>
      <color rgb="FFB0B0A9"/>
      <color rgb="FFFF9201"/>
      <color rgb="FFFFCC99"/>
      <color rgb="FF0000FF"/>
      <color rgb="FF00FF00"/>
      <color rgb="FFFF33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1082041</xdr:colOff>
      <xdr:row>0</xdr:row>
      <xdr:rowOff>76200</xdr:rowOff>
    </xdr:from>
    <xdr:to>
      <xdr:col>5</xdr:col>
      <xdr:colOff>876301</xdr:colOff>
      <xdr:row>2</xdr:row>
      <xdr:rowOff>31593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4B59F5B-93A5-BDB2-251D-5DD1DBA81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0841" y="76200"/>
          <a:ext cx="2964180" cy="686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</xdr:colOff>
      <xdr:row>2</xdr:row>
      <xdr:rowOff>182880</xdr:rowOff>
    </xdr:from>
    <xdr:to>
      <xdr:col>17</xdr:col>
      <xdr:colOff>7621</xdr:colOff>
      <xdr:row>4</xdr:row>
      <xdr:rowOff>115931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CF6EEB0-65DC-7AB4-A01A-79757D65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6661" y="640080"/>
          <a:ext cx="1684020" cy="390251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</xdr:colOff>
      <xdr:row>0</xdr:row>
      <xdr:rowOff>93033</xdr:rowOff>
    </xdr:from>
    <xdr:to>
      <xdr:col>2</xdr:col>
      <xdr:colOff>571500</xdr:colOff>
      <xdr:row>1</xdr:row>
      <xdr:rowOff>154031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2C8F191-DCE0-47A3-B13B-B36133FAD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79" y="93033"/>
          <a:ext cx="1249681" cy="289598"/>
        </a:xfrm>
        <a:prstGeom prst="rect">
          <a:avLst/>
        </a:prstGeom>
      </xdr:spPr>
    </xdr:pic>
    <xdr:clientData/>
  </xdr:twoCellAnchor>
  <xdr:twoCellAnchor editAs="oneCell">
    <xdr:from>
      <xdr:col>1</xdr:col>
      <xdr:colOff>695092</xdr:colOff>
      <xdr:row>11</xdr:row>
      <xdr:rowOff>200258</xdr:rowOff>
    </xdr:from>
    <xdr:to>
      <xdr:col>2</xdr:col>
      <xdr:colOff>580792</xdr:colOff>
      <xdr:row>13</xdr:row>
      <xdr:rowOff>59288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F9C93F6-5C75-C8B9-7FAE-7180C482D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214" y="3243612"/>
          <a:ext cx="591944" cy="351542"/>
        </a:xfrm>
        <a:prstGeom prst="rect">
          <a:avLst/>
        </a:prstGeom>
      </xdr:spPr>
    </xdr:pic>
    <xdr:clientData/>
  </xdr:twoCellAnchor>
  <xdr:twoCellAnchor editAs="oneCell">
    <xdr:from>
      <xdr:col>1</xdr:col>
      <xdr:colOff>695092</xdr:colOff>
      <xdr:row>14</xdr:row>
      <xdr:rowOff>200258</xdr:rowOff>
    </xdr:from>
    <xdr:to>
      <xdr:col>2</xdr:col>
      <xdr:colOff>580792</xdr:colOff>
      <xdr:row>16</xdr:row>
      <xdr:rowOff>59288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419E5F2-4D92-415E-A8BB-2C03CDCF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214" y="3982380"/>
          <a:ext cx="591944" cy="351542"/>
        </a:xfrm>
        <a:prstGeom prst="rect">
          <a:avLst/>
        </a:prstGeom>
      </xdr:spPr>
    </xdr:pic>
    <xdr:clientData/>
  </xdr:twoCellAnchor>
  <xdr:twoCellAnchor editAs="oneCell">
    <xdr:from>
      <xdr:col>1</xdr:col>
      <xdr:colOff>696950</xdr:colOff>
      <xdr:row>19</xdr:row>
      <xdr:rowOff>199790</xdr:rowOff>
    </xdr:from>
    <xdr:to>
      <xdr:col>2</xdr:col>
      <xdr:colOff>582650</xdr:colOff>
      <xdr:row>21</xdr:row>
      <xdr:rowOff>58819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1C16C0F-38CD-4761-B84B-45B50410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0072" y="5213192"/>
          <a:ext cx="591944" cy="351542"/>
        </a:xfrm>
        <a:prstGeom prst="rect">
          <a:avLst/>
        </a:prstGeom>
      </xdr:spPr>
    </xdr:pic>
    <xdr:clientData/>
  </xdr:twoCellAnchor>
  <xdr:twoCellAnchor editAs="oneCell">
    <xdr:from>
      <xdr:col>1</xdr:col>
      <xdr:colOff>696020</xdr:colOff>
      <xdr:row>20</xdr:row>
      <xdr:rowOff>203504</xdr:rowOff>
    </xdr:from>
    <xdr:to>
      <xdr:col>2</xdr:col>
      <xdr:colOff>581720</xdr:colOff>
      <xdr:row>22</xdr:row>
      <xdr:rowOff>62534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ED48808-49F8-4D23-981B-3BF79B9E5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142" y="5463163"/>
          <a:ext cx="591944" cy="351542"/>
        </a:xfrm>
        <a:prstGeom prst="rect">
          <a:avLst/>
        </a:prstGeom>
      </xdr:spPr>
    </xdr:pic>
    <xdr:clientData/>
  </xdr:twoCellAnchor>
  <xdr:twoCellAnchor editAs="oneCell">
    <xdr:from>
      <xdr:col>2</xdr:col>
      <xdr:colOff>130096</xdr:colOff>
      <xdr:row>28</xdr:row>
      <xdr:rowOff>199787</xdr:rowOff>
    </xdr:from>
    <xdr:to>
      <xdr:col>2</xdr:col>
      <xdr:colOff>722040</xdr:colOff>
      <xdr:row>30</xdr:row>
      <xdr:rowOff>68109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7F6499FB-8C66-4635-8A72-BC62A9992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462" y="7429494"/>
          <a:ext cx="591944" cy="351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B6B2-51C9-48E4-AC68-6948E8542CAF}">
  <sheetPr published="0">
    <pageSetUpPr fitToPage="1"/>
  </sheetPr>
  <dimension ref="A1:AA26"/>
  <sheetViews>
    <sheetView showGridLines="0" zoomScaleNormal="100" workbookViewId="0">
      <selection activeCell="C6" sqref="C6:D6"/>
    </sheetView>
  </sheetViews>
  <sheetFormatPr baseColWidth="10" defaultColWidth="11" defaultRowHeight="15.75" customHeight="1" x14ac:dyDescent="0.25"/>
  <cols>
    <col min="1" max="1" width="4.625" customWidth="1"/>
    <col min="2" max="2" width="19.375" style="25" customWidth="1"/>
    <col min="3" max="4" width="18.625" style="25" customWidth="1"/>
    <col min="5" max="5" width="4.375" customWidth="1"/>
    <col min="6" max="6" width="19.375" customWidth="1"/>
    <col min="7" max="8" width="18.625" customWidth="1"/>
    <col min="9" max="19" width="4.375" customWidth="1"/>
    <col min="20" max="20" width="8.625" customWidth="1"/>
    <col min="21" max="21" width="9.75" customWidth="1"/>
    <col min="22" max="22" width="5.375" customWidth="1"/>
    <col min="23" max="23" width="11" customWidth="1"/>
  </cols>
  <sheetData>
    <row r="1" spans="1:27" ht="29.25" customHeight="1" x14ac:dyDescent="0.25">
      <c r="A1" s="81"/>
      <c r="B1" s="154" t="s">
        <v>145</v>
      </c>
      <c r="C1" s="154"/>
      <c r="D1" s="154"/>
      <c r="G1" s="132" t="s">
        <v>21</v>
      </c>
      <c r="H1" s="133">
        <f ca="1">NOW()</f>
        <v>45993.702550810187</v>
      </c>
      <c r="I1" s="142"/>
      <c r="V1" s="124"/>
    </row>
    <row r="2" spans="1:27" ht="29.25" customHeight="1" x14ac:dyDescent="0.25">
      <c r="B2" s="154"/>
      <c r="C2" s="154"/>
      <c r="D2" s="154"/>
      <c r="G2" s="130" t="s">
        <v>94</v>
      </c>
      <c r="H2" s="139" t="s">
        <v>147</v>
      </c>
      <c r="I2" s="128"/>
      <c r="J2" s="128"/>
      <c r="U2" s="102"/>
    </row>
    <row r="3" spans="1:27" ht="29.25" customHeight="1" x14ac:dyDescent="0.35">
      <c r="B3" s="120" t="s">
        <v>20</v>
      </c>
      <c r="C3" s="146"/>
      <c r="D3" s="146"/>
      <c r="E3" s="33"/>
      <c r="F3" s="130"/>
      <c r="G3" s="131"/>
      <c r="H3" s="129"/>
      <c r="I3" s="128"/>
      <c r="J3" s="128"/>
      <c r="O3" s="148"/>
      <c r="P3" s="148"/>
      <c r="Q3" s="148"/>
      <c r="R3" s="148"/>
      <c r="S3" s="148"/>
      <c r="T3" s="148"/>
      <c r="U3" s="148"/>
      <c r="W3" s="152"/>
      <c r="X3" s="152"/>
      <c r="Y3" s="153"/>
      <c r="Z3" s="153"/>
      <c r="AA3" s="153"/>
    </row>
    <row r="4" spans="1:27" ht="18" customHeight="1" x14ac:dyDescent="0.35">
      <c r="B4" s="125"/>
      <c r="C4" s="125"/>
      <c r="D4" s="125"/>
      <c r="E4" s="33"/>
      <c r="F4" s="33"/>
      <c r="G4" s="33"/>
      <c r="H4" s="33"/>
      <c r="O4" s="150"/>
      <c r="P4" s="150"/>
      <c r="Q4" s="150"/>
      <c r="R4" s="150"/>
      <c r="S4" s="151"/>
      <c r="T4" s="151"/>
      <c r="U4" s="151"/>
      <c r="W4" s="152"/>
      <c r="X4" s="152"/>
      <c r="Y4" s="153"/>
      <c r="Z4" s="153"/>
      <c r="AA4" s="153"/>
    </row>
    <row r="5" spans="1:27" ht="18" customHeight="1" x14ac:dyDescent="0.35">
      <c r="B5" s="125" t="s">
        <v>95</v>
      </c>
      <c r="C5" s="125"/>
      <c r="D5" s="125"/>
      <c r="E5" s="33"/>
      <c r="F5" s="125" t="s">
        <v>104</v>
      </c>
      <c r="G5" s="125"/>
      <c r="H5" s="125"/>
      <c r="I5" s="126"/>
      <c r="J5" s="15"/>
      <c r="K5" s="15"/>
      <c r="L5" s="15"/>
      <c r="M5" s="15"/>
      <c r="N5" s="15"/>
      <c r="O5" s="148"/>
      <c r="P5" s="148"/>
      <c r="Q5" s="148"/>
      <c r="R5" s="148"/>
      <c r="S5" s="149"/>
      <c r="T5" s="149"/>
      <c r="U5" s="149"/>
    </row>
    <row r="6" spans="1:27" ht="18" customHeight="1" x14ac:dyDescent="0.35">
      <c r="B6" s="127" t="s">
        <v>98</v>
      </c>
      <c r="C6" s="147"/>
      <c r="D6" s="147"/>
      <c r="E6" s="33"/>
      <c r="F6" s="127" t="s">
        <v>98</v>
      </c>
      <c r="G6" s="147"/>
      <c r="H6" s="147"/>
      <c r="I6" s="15"/>
      <c r="J6" s="15"/>
      <c r="K6" s="15"/>
      <c r="L6" s="15"/>
      <c r="M6" s="15"/>
      <c r="N6" s="15"/>
      <c r="O6" s="148"/>
      <c r="P6" s="148"/>
      <c r="Q6" s="148"/>
      <c r="R6" s="148"/>
      <c r="S6" s="149"/>
      <c r="T6" s="149"/>
      <c r="U6" s="149"/>
    </row>
    <row r="7" spans="1:27" ht="18" customHeight="1" x14ac:dyDescent="0.3">
      <c r="B7" s="127" t="s">
        <v>99</v>
      </c>
      <c r="C7" s="145"/>
      <c r="D7" s="145"/>
      <c r="E7" s="34"/>
      <c r="F7" s="127" t="s">
        <v>99</v>
      </c>
      <c r="G7" s="145"/>
      <c r="H7" s="145"/>
      <c r="J7" s="15"/>
      <c r="K7" s="15"/>
      <c r="L7" s="15"/>
      <c r="M7" s="15"/>
      <c r="N7" s="15"/>
      <c r="O7" s="17"/>
      <c r="S7" s="71"/>
      <c r="T7" s="71"/>
      <c r="U7" s="71"/>
    </row>
    <row r="8" spans="1:27" ht="18" customHeight="1" x14ac:dyDescent="0.25">
      <c r="B8" s="127" t="s">
        <v>96</v>
      </c>
      <c r="C8" s="145"/>
      <c r="D8" s="145"/>
      <c r="F8" s="127" t="s">
        <v>96</v>
      </c>
      <c r="G8" s="145"/>
      <c r="H8" s="145"/>
    </row>
    <row r="9" spans="1:27" ht="18" customHeight="1" x14ac:dyDescent="0.25">
      <c r="A9" s="124">
        <v>19</v>
      </c>
      <c r="B9" s="127" t="s">
        <v>97</v>
      </c>
      <c r="C9" s="145"/>
      <c r="D9" s="145"/>
      <c r="F9" s="127" t="s">
        <v>97</v>
      </c>
      <c r="G9" s="145"/>
      <c r="H9" s="145"/>
    </row>
    <row r="10" spans="1:27" ht="18" customHeight="1" x14ac:dyDescent="0.25">
      <c r="B10" s="127" t="s">
        <v>100</v>
      </c>
      <c r="C10" s="145"/>
      <c r="D10" s="145"/>
      <c r="F10" s="127" t="s">
        <v>100</v>
      </c>
      <c r="G10" s="145"/>
      <c r="H10" s="145"/>
    </row>
    <row r="11" spans="1:27" ht="18" customHeight="1" x14ac:dyDescent="0.25">
      <c r="B11" s="127" t="s">
        <v>101</v>
      </c>
      <c r="C11" s="145"/>
      <c r="D11" s="145"/>
      <c r="F11" s="127" t="s">
        <v>101</v>
      </c>
      <c r="G11" s="145"/>
      <c r="H11" s="145"/>
    </row>
    <row r="12" spans="1:27" ht="18" customHeight="1" x14ac:dyDescent="0.25">
      <c r="B12" s="127" t="s">
        <v>102</v>
      </c>
      <c r="C12" s="145"/>
      <c r="D12" s="145"/>
      <c r="F12" s="127" t="s">
        <v>102</v>
      </c>
      <c r="G12" s="145"/>
      <c r="H12" s="145"/>
    </row>
    <row r="13" spans="1:27" ht="18" customHeight="1" x14ac:dyDescent="0.25">
      <c r="B13" s="127" t="s">
        <v>103</v>
      </c>
      <c r="C13" s="145"/>
      <c r="D13" s="145"/>
      <c r="F13" s="127" t="s">
        <v>103</v>
      </c>
      <c r="G13" s="145"/>
      <c r="H13" s="145"/>
    </row>
    <row r="14" spans="1:27" ht="18" customHeight="1" x14ac:dyDescent="0.25">
      <c r="B14" s="125"/>
      <c r="C14" s="125"/>
      <c r="D14" s="125"/>
    </row>
    <row r="15" spans="1:27" ht="18" customHeight="1" x14ac:dyDescent="0.25"/>
    <row r="16" spans="1:27" ht="18" customHeight="1" x14ac:dyDescent="0.25">
      <c r="B16" s="125" t="s">
        <v>105</v>
      </c>
      <c r="C16" s="125"/>
      <c r="D16" s="125"/>
    </row>
    <row r="17" spans="2:4" ht="18" customHeight="1" x14ac:dyDescent="0.25">
      <c r="B17" s="21" t="s">
        <v>109</v>
      </c>
      <c r="C17" s="134" t="s">
        <v>110</v>
      </c>
      <c r="D17" s="134" t="s">
        <v>111</v>
      </c>
    </row>
    <row r="18" spans="2:4" ht="23.25" customHeight="1" x14ac:dyDescent="0.3">
      <c r="B18" s="135" t="s">
        <v>106</v>
      </c>
      <c r="C18" s="1">
        <f>SUM(HOLDS!G42)</f>
        <v>0</v>
      </c>
      <c r="D18" s="136">
        <f>HOLDS!G43</f>
        <v>0</v>
      </c>
    </row>
    <row r="19" spans="2:4" ht="23.25" hidden="1" customHeight="1" x14ac:dyDescent="0.3">
      <c r="B19" s="135" t="s">
        <v>107</v>
      </c>
      <c r="C19" s="1">
        <f>SUM(0)</f>
        <v>0</v>
      </c>
      <c r="D19" s="136">
        <f>SUM(0)</f>
        <v>0</v>
      </c>
    </row>
    <row r="20" spans="2:4" ht="23.25" hidden="1" customHeight="1" x14ac:dyDescent="0.3">
      <c r="B20" s="135" t="s">
        <v>108</v>
      </c>
      <c r="C20" s="1" t="e">
        <f>SUM(HOLDS!#REF!)</f>
        <v>#REF!</v>
      </c>
      <c r="D20" s="136" t="e">
        <f>SUM(HOLDS!#REF!)</f>
        <v>#REF!</v>
      </c>
    </row>
    <row r="21" spans="2:4" ht="23.25" hidden="1" customHeight="1" x14ac:dyDescent="0.3">
      <c r="B21" s="135" t="s">
        <v>112</v>
      </c>
      <c r="C21" s="1" t="e">
        <f>SUM(#REF!)</f>
        <v>#REF!</v>
      </c>
      <c r="D21" s="136" t="e">
        <f>#REF!</f>
        <v>#REF!</v>
      </c>
    </row>
    <row r="22" spans="2:4" ht="18" customHeight="1" x14ac:dyDescent="0.3">
      <c r="B22" s="135" t="s">
        <v>71</v>
      </c>
      <c r="C22" s="144">
        <f>IF(D22&gt;0,SUM(HOLDS!G38:V38),0)</f>
        <v>0</v>
      </c>
      <c r="D22" s="136">
        <f>IF(A1=1,"",SUM(HOLDS!G39:V39))</f>
        <v>0</v>
      </c>
    </row>
    <row r="23" spans="2:4" ht="18" customHeight="1" x14ac:dyDescent="0.3">
      <c r="B23" s="135" t="s">
        <v>149</v>
      </c>
      <c r="C23" s="144">
        <f>IF(D23&gt;0,SUM(HOLDS!X38),0)</f>
        <v>0</v>
      </c>
      <c r="D23" s="136">
        <f>IF(A1=1,"",SUM(HOLDS!X39))</f>
        <v>0</v>
      </c>
    </row>
    <row r="24" spans="2:4" ht="23.25" customHeight="1" x14ac:dyDescent="0.25"/>
    <row r="25" spans="2:4" ht="15.75" customHeight="1" x14ac:dyDescent="0.25">
      <c r="B25" s="21" t="s">
        <v>113</v>
      </c>
      <c r="C25" s="137">
        <f>HOLDS!W4</f>
        <v>0</v>
      </c>
    </row>
    <row r="26" spans="2:4" ht="15.75" hidden="1" customHeight="1" x14ac:dyDescent="0.25">
      <c r="B26" s="21" t="s">
        <v>114</v>
      </c>
      <c r="C26" s="137" t="e">
        <f>#REF!</f>
        <v>#REF!</v>
      </c>
    </row>
  </sheetData>
  <sheetProtection algorithmName="SHA-512" hashValue="P9aOulEGWA4veBrBdq4/OU5WakudKQypqXlpWCa6slML2q76Fj2vAYUF8B7VVyivQZz/vFNeR7As7V4rqnjCsQ==" saltValue="/oQ6LIku5xz/nv86Zd0I1w==" spinCount="100000" sheet="1" selectLockedCells="1"/>
  <mergeCells count="30">
    <mergeCell ref="W4:X4"/>
    <mergeCell ref="Y4:AA4"/>
    <mergeCell ref="B1:D2"/>
    <mergeCell ref="W3:X3"/>
    <mergeCell ref="Y3:AA3"/>
    <mergeCell ref="O3:R3"/>
    <mergeCell ref="G8:H8"/>
    <mergeCell ref="O6:R6"/>
    <mergeCell ref="S6:U6"/>
    <mergeCell ref="S3:U3"/>
    <mergeCell ref="O4:R4"/>
    <mergeCell ref="S4:U4"/>
    <mergeCell ref="O5:R5"/>
    <mergeCell ref="S5:U5"/>
    <mergeCell ref="C11:D11"/>
    <mergeCell ref="C12:D12"/>
    <mergeCell ref="C13:D13"/>
    <mergeCell ref="C3:D3"/>
    <mergeCell ref="G9:H9"/>
    <mergeCell ref="G10:H10"/>
    <mergeCell ref="G11:H11"/>
    <mergeCell ref="G12:H12"/>
    <mergeCell ref="G13:H13"/>
    <mergeCell ref="C6:D6"/>
    <mergeCell ref="C7:D7"/>
    <mergeCell ref="C8:D8"/>
    <mergeCell ref="C9:D9"/>
    <mergeCell ref="C10:D10"/>
    <mergeCell ref="G6:H6"/>
    <mergeCell ref="G7:H7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Footer>&amp;R&amp;9V.1.3</oddFooter>
  </headerFooter>
  <ignoredErrors>
    <ignoredError sqref="C1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AA279"/>
  <sheetViews>
    <sheetView showGridLines="0" tabSelected="1" zoomScaleNormal="100" workbookViewId="0">
      <pane ySplit="9" topLeftCell="A10" activePane="bottomLeft" state="frozen"/>
      <selection activeCell="A9" sqref="A9"/>
      <selection pane="bottomLeft" activeCell="C4" sqref="C4:F4"/>
    </sheetView>
  </sheetViews>
  <sheetFormatPr baseColWidth="10" defaultColWidth="0" defaultRowHeight="15.75" zeroHeight="1" x14ac:dyDescent="0.25"/>
  <cols>
    <col min="1" max="1" width="4.625" customWidth="1"/>
    <col min="2" max="2" width="9.25" style="25" customWidth="1"/>
    <col min="3" max="3" width="26.375" style="47" customWidth="1"/>
    <col min="4" max="4" width="16.75" customWidth="1"/>
    <col min="5" max="5" width="6.875" customWidth="1"/>
    <col min="6" max="6" width="10.5" customWidth="1"/>
    <col min="7" max="23" width="4.375" customWidth="1"/>
    <col min="24" max="24" width="8.625" customWidth="1"/>
    <col min="25" max="25" width="9.75" customWidth="1"/>
    <col min="26" max="26" width="5.375" customWidth="1"/>
    <col min="27" max="27" width="0" hidden="1" customWidth="1"/>
  </cols>
  <sheetData>
    <row r="1" spans="1:26" ht="18" customHeight="1" x14ac:dyDescent="0.25">
      <c r="A1" s="143">
        <f>OVERVIEW!A1</f>
        <v>0</v>
      </c>
      <c r="B1" s="154"/>
      <c r="C1" s="154"/>
      <c r="D1" s="154"/>
      <c r="F1" s="101" t="s">
        <v>64</v>
      </c>
      <c r="I1" s="166"/>
      <c r="J1" s="166"/>
      <c r="K1" s="166"/>
      <c r="L1" s="166"/>
      <c r="M1" s="166"/>
      <c r="Z1" s="124">
        <f>OVERVIEW!I1</f>
        <v>0</v>
      </c>
    </row>
    <row r="2" spans="1:26" ht="18" customHeight="1" x14ac:dyDescent="0.25">
      <c r="B2" s="154"/>
      <c r="C2" s="154"/>
      <c r="D2" s="154"/>
      <c r="X2" s="102" t="str">
        <f>OVERVIEW!G2</f>
        <v>Rev:</v>
      </c>
      <c r="Y2" s="102" t="str">
        <f>OVERVIEW!H2</f>
        <v>1.2</v>
      </c>
    </row>
    <row r="3" spans="1:26" ht="18" customHeight="1" thickBot="1" x14ac:dyDescent="0.4">
      <c r="B3" s="120" t="s">
        <v>20</v>
      </c>
      <c r="C3" s="165">
        <f>OVERVIEW!C3</f>
        <v>0</v>
      </c>
      <c r="D3" s="165"/>
      <c r="E3" s="165"/>
      <c r="F3" s="165"/>
      <c r="G3" s="33"/>
      <c r="H3" s="38" t="s">
        <v>21</v>
      </c>
      <c r="I3" s="174">
        <f ca="1">NOW()</f>
        <v>45993.702550810187</v>
      </c>
      <c r="J3" s="174"/>
      <c r="K3" s="174"/>
      <c r="L3" s="138"/>
      <c r="S3" s="177"/>
      <c r="T3" s="177"/>
      <c r="U3" s="177"/>
      <c r="V3" s="177"/>
      <c r="W3" s="177"/>
      <c r="X3" s="177"/>
      <c r="Y3" s="177"/>
    </row>
    <row r="4" spans="1:26" ht="18" customHeight="1" x14ac:dyDescent="0.35">
      <c r="B4" s="120" t="s">
        <v>13</v>
      </c>
      <c r="C4" s="164"/>
      <c r="D4" s="164"/>
      <c r="E4" s="164"/>
      <c r="F4" s="164"/>
      <c r="G4" s="33"/>
      <c r="S4" s="191" t="s">
        <v>25</v>
      </c>
      <c r="T4" s="192"/>
      <c r="U4" s="192"/>
      <c r="V4" s="193"/>
      <c r="W4" s="181">
        <f>'Berechnung Holds'!AV25</f>
        <v>0</v>
      </c>
      <c r="X4" s="182"/>
      <c r="Y4" s="183"/>
    </row>
    <row r="5" spans="1:26" ht="18" customHeight="1" x14ac:dyDescent="0.35">
      <c r="B5" s="167"/>
      <c r="C5" s="167"/>
      <c r="D5" s="167"/>
      <c r="E5" s="167"/>
      <c r="F5" s="167"/>
      <c r="G5" s="33"/>
      <c r="H5" s="33"/>
      <c r="I5" s="18" t="s">
        <v>70</v>
      </c>
      <c r="J5" s="175" t="s">
        <v>91</v>
      </c>
      <c r="K5" s="175"/>
      <c r="L5" s="140"/>
      <c r="N5" s="15"/>
      <c r="O5" s="15"/>
      <c r="P5" s="15"/>
      <c r="Q5" s="15"/>
      <c r="R5" s="15"/>
      <c r="S5" s="196" t="str">
        <f>IF(A1=1,"",CONCATENATE("Price incl. ",'Datenbank Holds'!AA3,"%"))</f>
        <v>Price incl. 19%</v>
      </c>
      <c r="T5" s="197"/>
      <c r="U5" s="197"/>
      <c r="V5" s="198"/>
      <c r="W5" s="186">
        <f>IF($A$1=1,"",W6*('Datenbank Holds'!AA3/100+1))</f>
        <v>0</v>
      </c>
      <c r="X5" s="187"/>
      <c r="Y5" s="188"/>
    </row>
    <row r="6" spans="1:26" ht="18" customHeight="1" thickBot="1" x14ac:dyDescent="0.4">
      <c r="B6" s="164"/>
      <c r="C6" s="164"/>
      <c r="D6" s="164"/>
      <c r="E6" s="164"/>
      <c r="F6" s="164"/>
      <c r="G6" s="33"/>
      <c r="H6" s="33"/>
      <c r="I6" s="18" t="s">
        <v>71</v>
      </c>
      <c r="J6" s="175" t="s">
        <v>68</v>
      </c>
      <c r="K6" s="175"/>
      <c r="L6" s="141"/>
      <c r="N6" s="15"/>
      <c r="O6" s="15"/>
      <c r="P6" s="15"/>
      <c r="Q6" s="15"/>
      <c r="R6" s="15"/>
      <c r="S6" s="194" t="str">
        <f>IF(A1=1,"","Price net")</f>
        <v>Price net</v>
      </c>
      <c r="T6" s="195"/>
      <c r="U6" s="195"/>
      <c r="V6" s="195"/>
      <c r="W6" s="189">
        <f>IF($A$1=1,"",G43+G44)</f>
        <v>0</v>
      </c>
      <c r="X6" s="189"/>
      <c r="Y6" s="190"/>
    </row>
    <row r="7" spans="1:26" ht="9.75" customHeight="1" thickBot="1" x14ac:dyDescent="0.35">
      <c r="C7" s="13"/>
      <c r="F7" s="34"/>
      <c r="G7" s="34"/>
      <c r="H7" s="15"/>
      <c r="J7" s="15"/>
      <c r="L7" s="15"/>
      <c r="M7" s="15"/>
      <c r="N7" s="15"/>
      <c r="O7" s="15"/>
      <c r="P7" s="15"/>
      <c r="Q7" s="15"/>
      <c r="R7" s="15"/>
      <c r="S7" s="17"/>
      <c r="W7" s="71"/>
      <c r="X7" s="71"/>
      <c r="Y7" s="71"/>
    </row>
    <row r="8" spans="1:26" ht="17.25" customHeight="1" thickBot="1" x14ac:dyDescent="0.35">
      <c r="C8" s="13"/>
      <c r="F8" s="34"/>
      <c r="G8" s="122" t="s">
        <v>90</v>
      </c>
      <c r="H8" s="15"/>
      <c r="J8" s="15"/>
      <c r="K8" s="15"/>
      <c r="L8" s="15"/>
      <c r="M8" s="15"/>
      <c r="N8" s="15"/>
      <c r="O8" s="15"/>
      <c r="P8" s="15"/>
      <c r="Q8" s="15"/>
      <c r="R8" s="17"/>
      <c r="S8" s="17"/>
      <c r="T8" s="178" t="str">
        <f>IF(A1=1,"","Price +5% / +20% ¹")</f>
        <v>Price +5% / +20% ¹</v>
      </c>
      <c r="U8" s="179"/>
      <c r="V8" s="179"/>
      <c r="W8" s="180"/>
    </row>
    <row r="9" spans="1:26" s="69" customFormat="1" ht="55.9" customHeight="1" thickBot="1" x14ac:dyDescent="0.3">
      <c r="A9"/>
      <c r="B9" s="22" t="s">
        <v>54</v>
      </c>
      <c r="C9" s="32" t="s">
        <v>24</v>
      </c>
      <c r="D9" s="22" t="s">
        <v>59</v>
      </c>
      <c r="E9" s="22" t="s">
        <v>19</v>
      </c>
      <c r="F9" s="23" t="str">
        <f>IF(A1=1,"","Price (netto)")</f>
        <v>Price (netto)</v>
      </c>
      <c r="G9" s="53" t="s">
        <v>33</v>
      </c>
      <c r="H9" s="54" t="s">
        <v>34</v>
      </c>
      <c r="I9" s="64" t="s">
        <v>35</v>
      </c>
      <c r="J9" s="65" t="s">
        <v>36</v>
      </c>
      <c r="K9" s="63" t="s">
        <v>37</v>
      </c>
      <c r="L9" s="55" t="s">
        <v>38</v>
      </c>
      <c r="M9" s="56" t="s">
        <v>39</v>
      </c>
      <c r="N9" s="57" t="s">
        <v>40</v>
      </c>
      <c r="O9" s="66" t="s">
        <v>41</v>
      </c>
      <c r="P9" s="92" t="s">
        <v>58</v>
      </c>
      <c r="Q9" s="58" t="s">
        <v>42</v>
      </c>
      <c r="R9" s="59" t="s">
        <v>43</v>
      </c>
      <c r="S9" s="72" t="s">
        <v>44</v>
      </c>
      <c r="T9" s="74" t="s">
        <v>45</v>
      </c>
      <c r="U9" s="75" t="s">
        <v>46</v>
      </c>
      <c r="V9" s="76" t="s">
        <v>47</v>
      </c>
      <c r="W9" s="77" t="s">
        <v>48</v>
      </c>
      <c r="X9" s="73" t="s">
        <v>50</v>
      </c>
      <c r="Y9" s="23" t="str">
        <f>IF(A1=1,"","Price (net) total")</f>
        <v>Price (net) total</v>
      </c>
    </row>
    <row r="10" spans="1:26" ht="30" customHeight="1" thickBot="1" x14ac:dyDescent="0.35">
      <c r="B10" s="30" t="s">
        <v>23</v>
      </c>
      <c r="C10" s="31"/>
      <c r="D10" s="30"/>
      <c r="E10" s="30"/>
      <c r="F10" s="35"/>
      <c r="G10" s="14"/>
      <c r="H10" s="14"/>
      <c r="I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7"/>
    </row>
    <row r="11" spans="1:26" ht="19.5" thickBot="1" x14ac:dyDescent="0.35">
      <c r="B11" s="100" t="s">
        <v>118</v>
      </c>
      <c r="C11" s="42" t="str">
        <f>IF(AND($Z$1=1,X11=0),"",VLOOKUP(B11,'Datenbank Holds'!B:C,2,FALSE))</f>
        <v>Kendo Set</v>
      </c>
      <c r="D11" s="42" t="str">
        <f>IF(AND($Z$1=1,X11=0),"",VLOOKUP(B11,'Datenbank Holds'!B:D,3,FALSE))</f>
        <v>XS-XL</v>
      </c>
      <c r="E11" s="91">
        <f>VLOOKUP(B11,'Datenbank Holds'!B:G,6,FALSE)</f>
        <v>134</v>
      </c>
      <c r="F11" s="50">
        <f>IF($A$1=1,"",VLOOKUP(B11,'Datenbank Holds'!$B$3:$AC$948,28,FALSE))</f>
        <v>2413.9499999999998</v>
      </c>
      <c r="G11" s="79"/>
      <c r="H11" s="52"/>
      <c r="I11" s="80"/>
      <c r="J11" s="52"/>
      <c r="K11" s="80"/>
      <c r="L11" s="52"/>
      <c r="M11" s="80"/>
      <c r="N11" s="52"/>
      <c r="O11" s="80"/>
      <c r="P11" s="52"/>
      <c r="Q11" s="80"/>
      <c r="R11" s="80"/>
      <c r="S11" s="94"/>
      <c r="T11" s="79"/>
      <c r="U11" s="52"/>
      <c r="V11" s="80"/>
      <c r="W11" s="96"/>
      <c r="X11" s="12">
        <f t="shared" ref="X11:X30" si="0">SUM(G11:W11)*E11</f>
        <v>0</v>
      </c>
      <c r="Y11" s="24">
        <f t="shared" ref="Y11:Y30" si="1">IF($A$1=1,"",SUM(G11:S11)*F11+SUM(T11:W11)*1.05*F11)</f>
        <v>0</v>
      </c>
    </row>
    <row r="12" spans="1:26" ht="19.5" thickBot="1" x14ac:dyDescent="0.35">
      <c r="B12" s="100" t="s">
        <v>119</v>
      </c>
      <c r="C12" s="78" t="str">
        <f>IF(AND($Z$1=1,X12=0),"",VLOOKUP(B12,'Datenbank Holds'!B:C,2,FALSE))</f>
        <v>Kendo Jugs 1</v>
      </c>
      <c r="D12" s="78" t="str">
        <f>IF(AND($Z$1=1,X12=0),"",VLOOKUP(B12,'Datenbank Holds'!B:D,3,FALSE))</f>
        <v>XXL</v>
      </c>
      <c r="E12" s="87">
        <f>VLOOKUP(B12,'Datenbank Holds'!B:G,6,FALSE)</f>
        <v>2</v>
      </c>
      <c r="F12" s="51">
        <f>IF($A$1=1,"",VLOOKUP(B12,'Datenbank Holds'!$B$3:$AC$948,28,FALSE))</f>
        <v>229</v>
      </c>
      <c r="G12" s="88"/>
      <c r="H12" s="89"/>
      <c r="I12" s="90"/>
      <c r="J12" s="89"/>
      <c r="K12" s="90"/>
      <c r="L12" s="89"/>
      <c r="M12" s="90"/>
      <c r="N12" s="89"/>
      <c r="O12" s="90"/>
      <c r="P12" s="89"/>
      <c r="Q12" s="90"/>
      <c r="R12" s="90"/>
      <c r="S12" s="95"/>
      <c r="T12" s="88"/>
      <c r="U12" s="89"/>
      <c r="V12" s="90"/>
      <c r="W12" s="97"/>
      <c r="X12" s="12">
        <f t="shared" ref="X12" si="2">SUM(G12:W12)*E12</f>
        <v>0</v>
      </c>
      <c r="Y12" s="24">
        <f t="shared" ref="Y12" si="3">IF($A$1=1,"",SUM(G12:S12)*F12+SUM(T12:W12)*1.05*F12)</f>
        <v>0</v>
      </c>
    </row>
    <row r="13" spans="1:26" ht="19.5" thickBot="1" x14ac:dyDescent="0.35">
      <c r="B13" s="100" t="s">
        <v>156</v>
      </c>
      <c r="C13" s="78" t="str">
        <f>IF(AND($Z$1=1,X13=0),"",VLOOKUP(B13,'Datenbank Holds'!B:C,2,FALSE))</f>
        <v>*NEW* Kendo Good Jugs 1</v>
      </c>
      <c r="D13" s="78" t="str">
        <f>IF(AND($Z$1=1,X13=0),"",VLOOKUP(B13,'Datenbank Holds'!B:D,3,FALSE))</f>
        <v>XXL</v>
      </c>
      <c r="E13" s="87">
        <f>VLOOKUP(B13,'Datenbank Holds'!B:G,6,FALSE)</f>
        <v>2</v>
      </c>
      <c r="F13" s="51">
        <f>IF($A$1=1,"",VLOOKUP(B13,'Datenbank Holds'!$B$3:$AC$948,28,FALSE))</f>
        <v>199</v>
      </c>
      <c r="G13" s="88"/>
      <c r="H13" s="89"/>
      <c r="I13" s="90"/>
      <c r="J13" s="89"/>
      <c r="K13" s="90"/>
      <c r="L13" s="89"/>
      <c r="M13" s="90"/>
      <c r="N13" s="89"/>
      <c r="O13" s="90"/>
      <c r="P13" s="89"/>
      <c r="Q13" s="90"/>
      <c r="R13" s="90"/>
      <c r="S13" s="95"/>
      <c r="T13" s="88"/>
      <c r="U13" s="89"/>
      <c r="V13" s="90"/>
      <c r="W13" s="97"/>
      <c r="X13" s="12">
        <f t="shared" ref="X13:X22" si="4">SUM(G13:W13)*E13</f>
        <v>0</v>
      </c>
      <c r="Y13" s="24">
        <f t="shared" ref="Y13:Y22" si="5">IF($A$1=1,"",SUM(G13:S13)*F13+SUM(T13:W13)*1.05*F13)</f>
        <v>0</v>
      </c>
    </row>
    <row r="14" spans="1:26" ht="19.5" thickBot="1" x14ac:dyDescent="0.35">
      <c r="B14" s="100" t="s">
        <v>120</v>
      </c>
      <c r="C14" s="78" t="str">
        <f>IF(AND($Z$1=1,X14=0),"",VLOOKUP(B14,'Datenbank Holds'!B:C,2,FALSE))</f>
        <v>Kendo Good Edges 1</v>
      </c>
      <c r="D14" s="78" t="str">
        <f>IF(AND($Z$1=1,X14=0),"",VLOOKUP(B14,'Datenbank Holds'!B:D,3,FALSE))</f>
        <v>XXl</v>
      </c>
      <c r="E14" s="87">
        <f>VLOOKUP(B14,'Datenbank Holds'!B:G,6,FALSE)</f>
        <v>2</v>
      </c>
      <c r="F14" s="51">
        <f>IF($A$1=1,"",VLOOKUP(B14,'Datenbank Holds'!$B$3:$AC$948,28,FALSE))</f>
        <v>199</v>
      </c>
      <c r="G14" s="88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0"/>
      <c r="S14" s="95"/>
      <c r="T14" s="88"/>
      <c r="U14" s="89"/>
      <c r="V14" s="90"/>
      <c r="W14" s="97"/>
      <c r="X14" s="12">
        <f t="shared" si="4"/>
        <v>0</v>
      </c>
      <c r="Y14" s="24">
        <f t="shared" si="5"/>
        <v>0</v>
      </c>
    </row>
    <row r="15" spans="1:26" ht="19.5" thickBot="1" x14ac:dyDescent="0.35">
      <c r="B15" s="100" t="s">
        <v>121</v>
      </c>
      <c r="C15" s="78" t="str">
        <f>IF(AND($Z$1=1,X15=0),"",VLOOKUP(B15,'Datenbank Holds'!B:C,2,FALSE))</f>
        <v>Kendo Bad Edges 1</v>
      </c>
      <c r="D15" s="78" t="str">
        <f>IF(AND($Z$1=1,X15=0),"",VLOOKUP(B15,'Datenbank Holds'!B:D,3,FALSE))</f>
        <v>XXL</v>
      </c>
      <c r="E15" s="87">
        <f>VLOOKUP(B15,'Datenbank Holds'!B:G,6,FALSE)</f>
        <v>2</v>
      </c>
      <c r="F15" s="51">
        <f>IF($A$1=1,"",VLOOKUP(B15,'Datenbank Holds'!$B$3:$AC$948,28,FALSE))</f>
        <v>119</v>
      </c>
      <c r="G15" s="88"/>
      <c r="H15" s="89"/>
      <c r="I15" s="90"/>
      <c r="J15" s="89"/>
      <c r="K15" s="90"/>
      <c r="L15" s="89"/>
      <c r="M15" s="90"/>
      <c r="N15" s="89"/>
      <c r="O15" s="90"/>
      <c r="P15" s="89"/>
      <c r="Q15" s="90"/>
      <c r="R15" s="90"/>
      <c r="S15" s="95"/>
      <c r="T15" s="88"/>
      <c r="U15" s="89"/>
      <c r="V15" s="90"/>
      <c r="W15" s="97"/>
      <c r="X15" s="12">
        <f t="shared" si="4"/>
        <v>0</v>
      </c>
      <c r="Y15" s="24">
        <f t="shared" si="5"/>
        <v>0</v>
      </c>
    </row>
    <row r="16" spans="1:26" ht="19.5" thickBot="1" x14ac:dyDescent="0.35">
      <c r="B16" s="100" t="s">
        <v>155</v>
      </c>
      <c r="C16" s="78" t="str">
        <f>IF(AND($Z$1=1,X16=0),"",VLOOKUP(B16,'Datenbank Holds'!B:C,2,FALSE))</f>
        <v>*NEW* Kendo Good Jugs 4</v>
      </c>
      <c r="D16" s="78" t="str">
        <f>IF(AND($Z$1=1,X16=0),"",VLOOKUP(B16,'Datenbank Holds'!B:D,3,FALSE))</f>
        <v>XL</v>
      </c>
      <c r="E16" s="87">
        <f>VLOOKUP(B16,'Datenbank Holds'!B:G,6,FALSE)</f>
        <v>6</v>
      </c>
      <c r="F16" s="51">
        <f>IF($A$1=1,"",VLOOKUP(B16,'Datenbank Holds'!$B$3:$AC$948,28,FALSE))</f>
        <v>199</v>
      </c>
      <c r="G16" s="88"/>
      <c r="H16" s="89"/>
      <c r="I16" s="90"/>
      <c r="J16" s="89"/>
      <c r="K16" s="90"/>
      <c r="L16" s="89"/>
      <c r="M16" s="90"/>
      <c r="N16" s="89"/>
      <c r="O16" s="90"/>
      <c r="P16" s="89"/>
      <c r="Q16" s="90"/>
      <c r="R16" s="90"/>
      <c r="S16" s="95"/>
      <c r="T16" s="88"/>
      <c r="U16" s="89"/>
      <c r="V16" s="90"/>
      <c r="W16" s="97"/>
      <c r="X16" s="12">
        <f t="shared" si="4"/>
        <v>0</v>
      </c>
      <c r="Y16" s="24">
        <f t="shared" si="5"/>
        <v>0</v>
      </c>
    </row>
    <row r="17" spans="2:27" ht="19.5" thickBot="1" x14ac:dyDescent="0.35">
      <c r="B17" s="100" t="s">
        <v>122</v>
      </c>
      <c r="C17" s="78" t="str">
        <f>IF(AND($Z$1=1,X17=0),"",VLOOKUP(B17,'Datenbank Holds'!B:C,2,FALSE))</f>
        <v>Kendo Good Edges 2</v>
      </c>
      <c r="D17" s="78" t="str">
        <f>IF(AND($Z$1=1,X17=0),"",VLOOKUP(B17,'Datenbank Holds'!B:D,3,FALSE))</f>
        <v>XL</v>
      </c>
      <c r="E17" s="87">
        <f>VLOOKUP(B17,'Datenbank Holds'!B:G,6,FALSE)</f>
        <v>6</v>
      </c>
      <c r="F17" s="51">
        <f>IF($A$1=1,"",VLOOKUP(B17,'Datenbank Holds'!$B$3:$AC$948,28,FALSE))</f>
        <v>299</v>
      </c>
      <c r="G17" s="88"/>
      <c r="H17" s="89"/>
      <c r="I17" s="90"/>
      <c r="J17" s="89"/>
      <c r="K17" s="90"/>
      <c r="L17" s="89"/>
      <c r="M17" s="90"/>
      <c r="N17" s="89"/>
      <c r="O17" s="90"/>
      <c r="P17" s="89"/>
      <c r="Q17" s="90"/>
      <c r="R17" s="90"/>
      <c r="S17" s="95"/>
      <c r="T17" s="88"/>
      <c r="U17" s="89"/>
      <c r="V17" s="90"/>
      <c r="W17" s="97"/>
      <c r="X17" s="12">
        <f t="shared" si="4"/>
        <v>0</v>
      </c>
      <c r="Y17" s="24">
        <f t="shared" si="5"/>
        <v>0</v>
      </c>
    </row>
    <row r="18" spans="2:27" ht="19.5" thickBot="1" x14ac:dyDescent="0.35">
      <c r="B18" s="100" t="s">
        <v>123</v>
      </c>
      <c r="C18" s="78" t="str">
        <f>IF(AND($Z$1=1,X18=0),"",VLOOKUP(B18,'Datenbank Holds'!B:C,2,FALSE))</f>
        <v>Kendo Bad Edges 2</v>
      </c>
      <c r="D18" s="78" t="str">
        <f>IF(AND($Z$1=1,X18=0),"",VLOOKUP(B18,'Datenbank Holds'!B:D,3,FALSE))</f>
        <v>XL</v>
      </c>
      <c r="E18" s="87">
        <f>VLOOKUP(B18,'Datenbank Holds'!B:G,6,FALSE)</f>
        <v>6</v>
      </c>
      <c r="F18" s="51">
        <f>IF($A$1=1,"",VLOOKUP(B18,'Datenbank Holds'!$B$3:$AC$948,28,FALSE))</f>
        <v>245</v>
      </c>
      <c r="G18" s="88"/>
      <c r="H18" s="89"/>
      <c r="I18" s="90"/>
      <c r="J18" s="89"/>
      <c r="K18" s="90"/>
      <c r="L18" s="89"/>
      <c r="M18" s="90"/>
      <c r="N18" s="89"/>
      <c r="O18" s="90"/>
      <c r="P18" s="89"/>
      <c r="Q18" s="90"/>
      <c r="R18" s="90"/>
      <c r="S18" s="95"/>
      <c r="T18" s="88"/>
      <c r="U18" s="89"/>
      <c r="V18" s="90"/>
      <c r="W18" s="97"/>
      <c r="X18" s="12">
        <f t="shared" si="4"/>
        <v>0</v>
      </c>
      <c r="Y18" s="24">
        <f t="shared" si="5"/>
        <v>0</v>
      </c>
    </row>
    <row r="19" spans="2:27" ht="19.5" thickBot="1" x14ac:dyDescent="0.35">
      <c r="B19" s="100" t="s">
        <v>124</v>
      </c>
      <c r="C19" s="78" t="str">
        <f>IF(AND($Z$1=1,X19=0),"",VLOOKUP(B19,'Datenbank Holds'!B:C,2,FALSE))</f>
        <v>Kendo Edges 1</v>
      </c>
      <c r="D19" s="78" t="str">
        <f>IF(AND($Z$1=1,X19=0),"",VLOOKUP(B19,'Datenbank Holds'!B:D,3,FALSE))</f>
        <v>L</v>
      </c>
      <c r="E19" s="87">
        <f>VLOOKUP(B19,'Datenbank Holds'!B:G,6,FALSE)</f>
        <v>6</v>
      </c>
      <c r="F19" s="51">
        <f>IF($A$1=1,"",VLOOKUP(B19,'Datenbank Holds'!$B$3:$AC$948,28,FALSE))</f>
        <v>149</v>
      </c>
      <c r="G19" s="88"/>
      <c r="H19" s="89"/>
      <c r="I19" s="90"/>
      <c r="J19" s="89"/>
      <c r="K19" s="90"/>
      <c r="L19" s="89"/>
      <c r="M19" s="90"/>
      <c r="N19" s="89"/>
      <c r="O19" s="90"/>
      <c r="P19" s="89"/>
      <c r="Q19" s="90"/>
      <c r="R19" s="90"/>
      <c r="S19" s="95"/>
      <c r="T19" s="88"/>
      <c r="U19" s="89"/>
      <c r="V19" s="90"/>
      <c r="W19" s="97"/>
      <c r="X19" s="12">
        <f t="shared" si="4"/>
        <v>0</v>
      </c>
      <c r="Y19" s="24">
        <f t="shared" si="5"/>
        <v>0</v>
      </c>
    </row>
    <row r="20" spans="2:27" ht="19.5" thickBot="1" x14ac:dyDescent="0.35">
      <c r="B20" s="100" t="s">
        <v>125</v>
      </c>
      <c r="C20" s="78" t="str">
        <f>IF(AND($Z$1=1,X20=0),"",VLOOKUP(B20,'Datenbank Holds'!B:C,2,FALSE))</f>
        <v>Kendo Jugs 2</v>
      </c>
      <c r="D20" s="78" t="str">
        <f>IF(AND($Z$1=1,X20=0),"",VLOOKUP(B20,'Datenbank Holds'!B:D,3,FALSE))</f>
        <v>M-L</v>
      </c>
      <c r="E20" s="87">
        <f>VLOOKUP(B20,'Datenbank Holds'!B:G,6,FALSE)</f>
        <v>12</v>
      </c>
      <c r="F20" s="51">
        <f>IF($A$1=1,"",VLOOKUP(B20,'Datenbank Holds'!$B$3:$AC$948,28,FALSE))</f>
        <v>265</v>
      </c>
      <c r="G20" s="88"/>
      <c r="H20" s="89"/>
      <c r="I20" s="90"/>
      <c r="J20" s="89"/>
      <c r="K20" s="90"/>
      <c r="L20" s="89"/>
      <c r="M20" s="90"/>
      <c r="N20" s="89"/>
      <c r="O20" s="90"/>
      <c r="P20" s="89"/>
      <c r="Q20" s="90"/>
      <c r="R20" s="90"/>
      <c r="S20" s="95"/>
      <c r="T20" s="88"/>
      <c r="U20" s="89"/>
      <c r="V20" s="90"/>
      <c r="W20" s="97"/>
      <c r="X20" s="12">
        <f t="shared" si="4"/>
        <v>0</v>
      </c>
      <c r="Y20" s="24">
        <f t="shared" si="5"/>
        <v>0</v>
      </c>
    </row>
    <row r="21" spans="2:27" ht="19.5" thickBot="1" x14ac:dyDescent="0.35">
      <c r="B21" s="100" t="s">
        <v>150</v>
      </c>
      <c r="C21" s="78" t="str">
        <f>IF(AND($Z$1=1,X21=0),"",VLOOKUP(B21,'Datenbank Holds'!B:C,2,FALSE))</f>
        <v>*NEW* Kendo Good Jugs 2</v>
      </c>
      <c r="D21" s="78" t="str">
        <f>IF(AND($Z$1=1,X21=0),"",VLOOKUP(B21,'Datenbank Holds'!B:D,3,FALSE))</f>
        <v>M</v>
      </c>
      <c r="E21" s="87">
        <f>VLOOKUP(B21,'Datenbank Holds'!B:G,6,FALSE)</f>
        <v>6</v>
      </c>
      <c r="F21" s="51">
        <f>IF($A$1=1,"",VLOOKUP(B21,'Datenbank Holds'!$B$3:$AC$948,28,FALSE))</f>
        <v>99</v>
      </c>
      <c r="G21" s="88"/>
      <c r="H21" s="89"/>
      <c r="I21" s="90"/>
      <c r="J21" s="89"/>
      <c r="K21" s="90"/>
      <c r="L21" s="89"/>
      <c r="M21" s="90"/>
      <c r="N21" s="89"/>
      <c r="O21" s="90"/>
      <c r="P21" s="89"/>
      <c r="Q21" s="90"/>
      <c r="R21" s="90"/>
      <c r="S21" s="95"/>
      <c r="T21" s="88"/>
      <c r="U21" s="89"/>
      <c r="V21" s="90"/>
      <c r="W21" s="97"/>
      <c r="X21" s="12">
        <f t="shared" si="4"/>
        <v>0</v>
      </c>
      <c r="Y21" s="24">
        <f t="shared" si="5"/>
        <v>0</v>
      </c>
    </row>
    <row r="22" spans="2:27" ht="19.5" thickBot="1" x14ac:dyDescent="0.35">
      <c r="B22" s="100" t="s">
        <v>151</v>
      </c>
      <c r="C22" s="78" t="str">
        <f>IF(AND($Z$1=1,X22=0),"",VLOOKUP(B22,'Datenbank Holds'!B:C,2,FALSE))</f>
        <v>*NEW* Kendo Good Jugs 3</v>
      </c>
      <c r="D22" s="78" t="str">
        <f>IF(AND($Z$1=1,X22=0),"",VLOOKUP(B22,'Datenbank Holds'!B:D,3,FALSE))</f>
        <v>L</v>
      </c>
      <c r="E22" s="87">
        <f>VLOOKUP(B22,'Datenbank Holds'!B:G,6,FALSE)</f>
        <v>6</v>
      </c>
      <c r="F22" s="51">
        <f>IF($A$1=1,"",VLOOKUP(B22,'Datenbank Holds'!$B$3:$AC$948,28,FALSE))</f>
        <v>125</v>
      </c>
      <c r="G22" s="88"/>
      <c r="H22" s="89"/>
      <c r="I22" s="90"/>
      <c r="J22" s="89"/>
      <c r="K22" s="90"/>
      <c r="L22" s="89"/>
      <c r="M22" s="90"/>
      <c r="N22" s="89"/>
      <c r="O22" s="90"/>
      <c r="P22" s="89"/>
      <c r="Q22" s="90"/>
      <c r="R22" s="90"/>
      <c r="S22" s="95"/>
      <c r="T22" s="88"/>
      <c r="U22" s="89"/>
      <c r="V22" s="90"/>
      <c r="W22" s="97"/>
      <c r="X22" s="12">
        <f t="shared" si="4"/>
        <v>0</v>
      </c>
      <c r="Y22" s="24">
        <f t="shared" si="5"/>
        <v>0</v>
      </c>
    </row>
    <row r="23" spans="2:27" ht="19.5" thickBot="1" x14ac:dyDescent="0.35">
      <c r="B23" s="100" t="s">
        <v>126</v>
      </c>
      <c r="C23" s="78" t="str">
        <f>IF(AND($Z$1=1,X23=0),"",VLOOKUP(B23,'Datenbank Holds'!B:C,2,FALSE))</f>
        <v>Kendo Edges 2</v>
      </c>
      <c r="D23" s="78" t="str">
        <f>IF(AND($Z$1=1,X23=0),"",VLOOKUP(B23,'Datenbank Holds'!B:D,3,FALSE))</f>
        <v>M</v>
      </c>
      <c r="E23" s="87">
        <f>VLOOKUP(B23,'Datenbank Holds'!B:G,6,FALSE)</f>
        <v>6</v>
      </c>
      <c r="F23" s="51">
        <f>IF($A$1=1,"",VLOOKUP(B23,'Datenbank Holds'!$B$3:$AC$948,28,FALSE))</f>
        <v>59</v>
      </c>
      <c r="G23" s="88"/>
      <c r="H23" s="89"/>
      <c r="I23" s="90"/>
      <c r="J23" s="89"/>
      <c r="K23" s="90"/>
      <c r="L23" s="89"/>
      <c r="M23" s="90"/>
      <c r="N23" s="89"/>
      <c r="O23" s="90"/>
      <c r="P23" s="89"/>
      <c r="Q23" s="90"/>
      <c r="R23" s="90"/>
      <c r="S23" s="95"/>
      <c r="T23" s="88"/>
      <c r="U23" s="89"/>
      <c r="V23" s="90"/>
      <c r="W23" s="97"/>
      <c r="X23" s="12">
        <f t="shared" si="0"/>
        <v>0</v>
      </c>
      <c r="Y23" s="24">
        <f t="shared" si="1"/>
        <v>0</v>
      </c>
    </row>
    <row r="24" spans="2:27" ht="19.5" thickBot="1" x14ac:dyDescent="0.35">
      <c r="B24" s="100" t="s">
        <v>127</v>
      </c>
      <c r="C24" s="78" t="str">
        <f>IF(AND($Z$1=1,X24=0),"",VLOOKUP(B24,'Datenbank Holds'!B:C,2,FALSE))</f>
        <v>Kendo Crimps 1</v>
      </c>
      <c r="D24" s="78" t="str">
        <f>IF(AND($Z$1=1,X24=0),"",VLOOKUP(B24,'Datenbank Holds'!B:D,3,FALSE))</f>
        <v>S (Screw-On)</v>
      </c>
      <c r="E24" s="87">
        <f>VLOOKUP(B24,'Datenbank Holds'!B:G,6,FALSE)</f>
        <v>12</v>
      </c>
      <c r="F24" s="51">
        <f>IF($A$1=1,"",VLOOKUP(B24,'Datenbank Holds'!$B$3:$AC$948,28,FALSE))</f>
        <v>74</v>
      </c>
      <c r="G24" s="88"/>
      <c r="H24" s="89"/>
      <c r="I24" s="90"/>
      <c r="J24" s="89"/>
      <c r="K24" s="90"/>
      <c r="L24" s="89"/>
      <c r="M24" s="90"/>
      <c r="N24" s="89"/>
      <c r="O24" s="90"/>
      <c r="P24" s="89"/>
      <c r="Q24" s="90"/>
      <c r="R24" s="90"/>
      <c r="S24" s="95"/>
      <c r="T24" s="88"/>
      <c r="U24" s="89"/>
      <c r="V24" s="90"/>
      <c r="W24" s="97"/>
      <c r="X24" s="12">
        <f t="shared" si="0"/>
        <v>0</v>
      </c>
      <c r="Y24" s="24">
        <f t="shared" si="1"/>
        <v>0</v>
      </c>
    </row>
    <row r="25" spans="2:27" ht="19.5" thickBot="1" x14ac:dyDescent="0.35">
      <c r="B25" s="100" t="s">
        <v>128</v>
      </c>
      <c r="C25" s="78" t="str">
        <f>IF(AND($Z$1=1,X25=0),"",VLOOKUP(B25,'Datenbank Holds'!B:C,2,FALSE))</f>
        <v>Kendo Plates 1</v>
      </c>
      <c r="D25" s="78" t="str">
        <f>IF(AND($Z$1=1,X25=0),"",VLOOKUP(B25,'Datenbank Holds'!B:D,3,FALSE))</f>
        <v>S</v>
      </c>
      <c r="E25" s="87">
        <f>VLOOKUP(B25,'Datenbank Holds'!B:G,6,FALSE)</f>
        <v>8</v>
      </c>
      <c r="F25" s="51">
        <f>IF($A$1=1,"",VLOOKUP(B25,'Datenbank Holds'!$B$3:$AC$948,28,FALSE))</f>
        <v>49</v>
      </c>
      <c r="G25" s="88"/>
      <c r="H25" s="89"/>
      <c r="I25" s="90"/>
      <c r="J25" s="89"/>
      <c r="K25" s="90"/>
      <c r="L25" s="89"/>
      <c r="M25" s="90"/>
      <c r="N25" s="89"/>
      <c r="O25" s="90"/>
      <c r="P25" s="89"/>
      <c r="Q25" s="90"/>
      <c r="R25" s="90"/>
      <c r="S25" s="95"/>
      <c r="T25" s="88"/>
      <c r="U25" s="89"/>
      <c r="V25" s="90"/>
      <c r="W25" s="97"/>
      <c r="X25" s="12">
        <f t="shared" si="0"/>
        <v>0</v>
      </c>
      <c r="Y25" s="24">
        <f t="shared" si="1"/>
        <v>0</v>
      </c>
    </row>
    <row r="26" spans="2:27" ht="19.5" thickBot="1" x14ac:dyDescent="0.35">
      <c r="B26" s="100" t="s">
        <v>129</v>
      </c>
      <c r="C26" s="78" t="str">
        <f>IF(AND($Z$1=1,X26=0),"",VLOOKUP(B26,'Datenbank Holds'!B:C,2,FALSE))</f>
        <v xml:space="preserve">Kendo Edges </v>
      </c>
      <c r="D26" s="78" t="str">
        <f>IF(AND($Z$1=1,X26=0),"",VLOOKUP(B26,'Datenbank Holds'!B:D,3,FALSE))</f>
        <v>S (Screw-On)</v>
      </c>
      <c r="E26" s="87">
        <f>VLOOKUP(B26,'Datenbank Holds'!B:G,6,FALSE)</f>
        <v>6</v>
      </c>
      <c r="F26" s="51">
        <f>IF($A$1=1,"",VLOOKUP(B26,'Datenbank Holds'!$B$3:$AC$948,28,FALSE))</f>
        <v>39</v>
      </c>
      <c r="G26" s="88"/>
      <c r="H26" s="89"/>
      <c r="I26" s="90"/>
      <c r="J26" s="89"/>
      <c r="K26" s="90"/>
      <c r="L26" s="89"/>
      <c r="M26" s="90"/>
      <c r="N26" s="89"/>
      <c r="O26" s="90"/>
      <c r="P26" s="89"/>
      <c r="Q26" s="90"/>
      <c r="R26" s="90"/>
      <c r="S26" s="95"/>
      <c r="T26" s="88"/>
      <c r="U26" s="89"/>
      <c r="V26" s="90"/>
      <c r="W26" s="97"/>
      <c r="X26" s="12">
        <f t="shared" si="0"/>
        <v>0</v>
      </c>
      <c r="Y26" s="24">
        <f t="shared" si="1"/>
        <v>0</v>
      </c>
    </row>
    <row r="27" spans="2:27" ht="19.5" thickBot="1" x14ac:dyDescent="0.35">
      <c r="B27" s="100" t="s">
        <v>130</v>
      </c>
      <c r="C27" s="78" t="str">
        <f>IF(AND($Z$1=1,X27=0),"",VLOOKUP(B27,'Datenbank Holds'!B:C,2,FALSE))</f>
        <v>Kendo Footholds 1</v>
      </c>
      <c r="D27" s="78" t="str">
        <f>IF(AND($Z$1=1,X27=0),"",VLOOKUP(B27,'Datenbank Holds'!B:D,3,FALSE))</f>
        <v>S</v>
      </c>
      <c r="E27" s="87">
        <f>VLOOKUP(B27,'Datenbank Holds'!B:G,6,FALSE)</f>
        <v>10</v>
      </c>
      <c r="F27" s="51">
        <f>IF($A$1=1,"",VLOOKUP(B27,'Datenbank Holds'!$B$3:$AC$948,28,FALSE))</f>
        <v>42</v>
      </c>
      <c r="G27" s="88"/>
      <c r="H27" s="89"/>
      <c r="I27" s="90"/>
      <c r="J27" s="89"/>
      <c r="K27" s="90"/>
      <c r="L27" s="89"/>
      <c r="M27" s="90"/>
      <c r="N27" s="89"/>
      <c r="O27" s="90"/>
      <c r="P27" s="89"/>
      <c r="Q27" s="90"/>
      <c r="R27" s="90"/>
      <c r="S27" s="95"/>
      <c r="T27" s="88"/>
      <c r="U27" s="89"/>
      <c r="V27" s="90"/>
      <c r="W27" s="97"/>
      <c r="X27" s="12">
        <f t="shared" si="0"/>
        <v>0</v>
      </c>
      <c r="Y27" s="24">
        <f t="shared" si="1"/>
        <v>0</v>
      </c>
    </row>
    <row r="28" spans="2:27" ht="19.5" thickBot="1" x14ac:dyDescent="0.35">
      <c r="B28" s="100" t="s">
        <v>131</v>
      </c>
      <c r="C28" s="78" t="str">
        <f>IF(AND($Z$1=1,X28=0),"",VLOOKUP(B28,'Datenbank Holds'!B:C,2,FALSE))</f>
        <v>Kendo Footholds 2</v>
      </c>
      <c r="D28" s="78" t="str">
        <f>IF(AND($Z$1=1,X28=0),"",VLOOKUP(B28,'Datenbank Holds'!B:D,3,FALSE))</f>
        <v>XS (Screw-On)</v>
      </c>
      <c r="E28" s="87">
        <f>VLOOKUP(B28,'Datenbank Holds'!B:G,6,FALSE)</f>
        <v>20</v>
      </c>
      <c r="F28" s="51">
        <f>IF($A$1=1,"",VLOOKUP(B28,'Datenbank Holds'!$B$3:$AC$948,28,FALSE))</f>
        <v>77</v>
      </c>
      <c r="G28" s="88"/>
      <c r="H28" s="89"/>
      <c r="I28" s="90"/>
      <c r="J28" s="89"/>
      <c r="K28" s="90"/>
      <c r="L28" s="89"/>
      <c r="M28" s="90"/>
      <c r="N28" s="89"/>
      <c r="O28" s="90"/>
      <c r="P28" s="89"/>
      <c r="Q28" s="90"/>
      <c r="R28" s="90"/>
      <c r="S28" s="95"/>
      <c r="T28" s="88"/>
      <c r="U28" s="89"/>
      <c r="V28" s="90"/>
      <c r="W28" s="97"/>
      <c r="X28" s="12">
        <f t="shared" si="0"/>
        <v>0</v>
      </c>
      <c r="Y28" s="24">
        <f t="shared" si="1"/>
        <v>0</v>
      </c>
    </row>
    <row r="29" spans="2:27" ht="19.5" thickBot="1" x14ac:dyDescent="0.35">
      <c r="B29" s="100" t="s">
        <v>132</v>
      </c>
      <c r="C29" s="78" t="str">
        <f>IF(AND($Z$1=1,X29=0),"",VLOOKUP(B29,'Datenbank Holds'!B:C,2,FALSE))</f>
        <v>Kendo Edges 3</v>
      </c>
      <c r="D29" s="78" t="str">
        <f>IF(AND($Z$1=1,X29=0),"",VLOOKUP(B29,'Datenbank Holds'!B:D,3,FALSE))</f>
        <v>XS (Screw-On)</v>
      </c>
      <c r="E29" s="87">
        <f>VLOOKUP(B29,'Datenbank Holds'!B:G,6,FALSE)</f>
        <v>8</v>
      </c>
      <c r="F29" s="51">
        <f>IF($A$1=1,"",VLOOKUP(B29,'Datenbank Holds'!$B$3:$AC$948,28,FALSE))</f>
        <v>39</v>
      </c>
      <c r="G29" s="88"/>
      <c r="H29" s="89"/>
      <c r="I29" s="90"/>
      <c r="J29" s="89"/>
      <c r="K29" s="90"/>
      <c r="L29" s="89"/>
      <c r="M29" s="90"/>
      <c r="N29" s="89"/>
      <c r="O29" s="90"/>
      <c r="P29" s="89"/>
      <c r="Q29" s="90"/>
      <c r="R29" s="90"/>
      <c r="S29" s="95"/>
      <c r="T29" s="88"/>
      <c r="U29" s="89"/>
      <c r="V29" s="90"/>
      <c r="W29" s="97"/>
      <c r="X29" s="12">
        <f t="shared" si="0"/>
        <v>0</v>
      </c>
      <c r="Y29" s="24">
        <f t="shared" si="1"/>
        <v>0</v>
      </c>
    </row>
    <row r="30" spans="2:27" ht="18.75" x14ac:dyDescent="0.3">
      <c r="B30" s="100" t="s">
        <v>133</v>
      </c>
      <c r="C30" s="78" t="str">
        <f>IF(AND($Z$1=1,X30=0),"",VLOOKUP(B30,'Datenbank Holds'!B:C,2,FALSE))</f>
        <v>*NEW* Kendo Crimps 2</v>
      </c>
      <c r="D30" s="78" t="str">
        <f>IF(AND($Z$1=1,X30=0),"",VLOOKUP(B30,'Datenbank Holds'!B:D,3,FALSE))</f>
        <v>XS (Screw-On)</v>
      </c>
      <c r="E30" s="87">
        <f>VLOOKUP(B30,'Datenbank Holds'!B:G,6,FALSE)</f>
        <v>8</v>
      </c>
      <c r="F30" s="51">
        <f>IF($A$1=1,"",VLOOKUP(B30,'Datenbank Holds'!$B$3:$AC$948,28,FALSE))</f>
        <v>35</v>
      </c>
      <c r="G30" s="88"/>
      <c r="H30" s="89"/>
      <c r="I30" s="90"/>
      <c r="J30" s="89"/>
      <c r="K30" s="90"/>
      <c r="L30" s="89"/>
      <c r="M30" s="90"/>
      <c r="N30" s="89"/>
      <c r="O30" s="90"/>
      <c r="P30" s="89"/>
      <c r="Q30" s="90"/>
      <c r="R30" s="90"/>
      <c r="S30" s="95"/>
      <c r="T30" s="88"/>
      <c r="U30" s="89"/>
      <c r="V30" s="90"/>
      <c r="W30" s="97"/>
      <c r="X30" s="12">
        <f t="shared" si="0"/>
        <v>0</v>
      </c>
      <c r="Y30" s="24">
        <f t="shared" si="1"/>
        <v>0</v>
      </c>
    </row>
    <row r="31" spans="2:27" ht="21" x14ac:dyDescent="0.35">
      <c r="C31" s="13"/>
      <c r="D31" s="13"/>
      <c r="E31" s="14"/>
      <c r="F31" s="44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44"/>
      <c r="Z31" s="36"/>
      <c r="AA31" s="37"/>
    </row>
    <row r="32" spans="2:27" ht="71.25" customHeight="1" x14ac:dyDescent="0.35">
      <c r="B32" s="14"/>
      <c r="C32" s="13"/>
      <c r="D32" s="14"/>
      <c r="E32" s="14"/>
      <c r="F32" s="26"/>
      <c r="G32" s="53" t="s">
        <v>73</v>
      </c>
      <c r="H32" s="54" t="s">
        <v>74</v>
      </c>
      <c r="I32" s="64" t="s">
        <v>92</v>
      </c>
      <c r="J32" s="65" t="s">
        <v>75</v>
      </c>
      <c r="K32" s="63" t="s">
        <v>76</v>
      </c>
      <c r="L32" s="55" t="s">
        <v>77</v>
      </c>
      <c r="M32" s="56" t="s">
        <v>78</v>
      </c>
      <c r="N32" s="57" t="s">
        <v>79</v>
      </c>
      <c r="O32" s="66" t="s">
        <v>80</v>
      </c>
      <c r="P32" s="92" t="s">
        <v>81</v>
      </c>
      <c r="Q32" s="58" t="s">
        <v>82</v>
      </c>
      <c r="R32" s="59" t="s">
        <v>83</v>
      </c>
      <c r="S32" s="60" t="s">
        <v>84</v>
      </c>
      <c r="T32" s="61" t="s">
        <v>85</v>
      </c>
      <c r="U32" s="70" t="s">
        <v>86</v>
      </c>
      <c r="V32" s="62" t="s">
        <v>87</v>
      </c>
      <c r="W32" s="63" t="s">
        <v>88</v>
      </c>
      <c r="X32" s="15"/>
      <c r="Y32" s="17"/>
      <c r="Z32" s="37"/>
    </row>
    <row r="33" spans="2:26" ht="18.75" x14ac:dyDescent="0.3">
      <c r="B33" s="14"/>
      <c r="C33" s="38"/>
      <c r="D33" s="168" t="s">
        <v>27</v>
      </c>
      <c r="E33" s="169"/>
      <c r="F33" s="170"/>
      <c r="G33" s="16">
        <f t="shared" ref="G33:W33" si="6">SUM(G11:G31)</f>
        <v>0</v>
      </c>
      <c r="H33" s="16">
        <f t="shared" si="6"/>
        <v>0</v>
      </c>
      <c r="I33" s="16">
        <f t="shared" si="6"/>
        <v>0</v>
      </c>
      <c r="J33" s="16">
        <f t="shared" si="6"/>
        <v>0</v>
      </c>
      <c r="K33" s="16">
        <f t="shared" si="6"/>
        <v>0</v>
      </c>
      <c r="L33" s="16">
        <f t="shared" si="6"/>
        <v>0</v>
      </c>
      <c r="M33" s="16">
        <f t="shared" si="6"/>
        <v>0</v>
      </c>
      <c r="N33" s="16">
        <f t="shared" si="6"/>
        <v>0</v>
      </c>
      <c r="O33" s="16">
        <f t="shared" si="6"/>
        <v>0</v>
      </c>
      <c r="P33" s="16">
        <f t="shared" si="6"/>
        <v>0</v>
      </c>
      <c r="Q33" s="16">
        <f t="shared" si="6"/>
        <v>0</v>
      </c>
      <c r="R33" s="16">
        <f t="shared" si="6"/>
        <v>0</v>
      </c>
      <c r="S33" s="16">
        <f t="shared" si="6"/>
        <v>0</v>
      </c>
      <c r="T33" s="16">
        <f t="shared" si="6"/>
        <v>0</v>
      </c>
      <c r="U33" s="83">
        <f t="shared" si="6"/>
        <v>0</v>
      </c>
      <c r="V33" s="16">
        <f t="shared" si="6"/>
        <v>0</v>
      </c>
      <c r="W33" s="16">
        <f t="shared" si="6"/>
        <v>0</v>
      </c>
      <c r="X33" s="17"/>
      <c r="Y33" s="36"/>
    </row>
    <row r="34" spans="2:26" ht="21" x14ac:dyDescent="0.35">
      <c r="B34" s="14"/>
      <c r="C34" s="38"/>
      <c r="D34" s="168" t="s">
        <v>28</v>
      </c>
      <c r="E34" s="169"/>
      <c r="F34" s="170"/>
      <c r="G34" s="16">
        <f>'Berechnung Holds'!Y25</f>
        <v>0</v>
      </c>
      <c r="H34" s="16">
        <f>'Berechnung Holds'!Z25</f>
        <v>0</v>
      </c>
      <c r="I34" s="16">
        <f>'Berechnung Holds'!AA25</f>
        <v>0</v>
      </c>
      <c r="J34" s="16">
        <f>'Berechnung Holds'!AB25</f>
        <v>0</v>
      </c>
      <c r="K34" s="16">
        <f>'Berechnung Holds'!AC25</f>
        <v>0</v>
      </c>
      <c r="L34" s="16">
        <f>'Berechnung Holds'!AD25</f>
        <v>0</v>
      </c>
      <c r="M34" s="16">
        <f>'Berechnung Holds'!AE25</f>
        <v>0</v>
      </c>
      <c r="N34" s="16">
        <f>'Berechnung Holds'!AF25</f>
        <v>0</v>
      </c>
      <c r="O34" s="16">
        <f>'Berechnung Holds'!AG25</f>
        <v>0</v>
      </c>
      <c r="P34" s="16">
        <f>'Berechnung Holds'!AH25</f>
        <v>0</v>
      </c>
      <c r="Q34" s="16">
        <f>'Berechnung Holds'!AI25</f>
        <v>0</v>
      </c>
      <c r="R34" s="16">
        <f>'Berechnung Holds'!AJ25</f>
        <v>0</v>
      </c>
      <c r="S34" s="16">
        <f>'Berechnung Holds'!AK25</f>
        <v>0</v>
      </c>
      <c r="T34" s="16">
        <f>'Berechnung Holds'!AL25</f>
        <v>0</v>
      </c>
      <c r="U34" s="16">
        <f>'Berechnung Holds'!AM25</f>
        <v>0</v>
      </c>
      <c r="V34" s="16">
        <f>'Berechnung Holds'!AN25</f>
        <v>0</v>
      </c>
      <c r="W34" s="16">
        <f>'Berechnung Holds'!AO25</f>
        <v>0</v>
      </c>
      <c r="X34" s="15"/>
      <c r="Y34" s="17"/>
      <c r="Z34" s="37"/>
    </row>
    <row r="35" spans="2:26" ht="21" x14ac:dyDescent="0.35">
      <c r="B35" s="14"/>
      <c r="C35" s="38"/>
      <c r="E35" s="14"/>
      <c r="F35" s="14"/>
      <c r="G35" s="14"/>
      <c r="H35" s="15"/>
      <c r="J35" s="15"/>
      <c r="K35" s="15"/>
      <c r="L35" s="15"/>
      <c r="M35" s="15"/>
      <c r="R35" s="15"/>
      <c r="S35" s="17"/>
      <c r="T35" s="36"/>
      <c r="U35" s="37"/>
    </row>
    <row r="36" spans="2:26" ht="18.75" x14ac:dyDescent="0.3">
      <c r="B36" s="14"/>
      <c r="C36" s="38"/>
      <c r="D36" s="158" t="s">
        <v>67</v>
      </c>
      <c r="E36" s="156"/>
      <c r="F36" s="157"/>
      <c r="G36" s="67">
        <f>'Datenbank Holds'!H3</f>
        <v>40</v>
      </c>
      <c r="H36" s="67">
        <f>'Datenbank Holds'!I3</f>
        <v>50</v>
      </c>
      <c r="I36" s="67">
        <f>'Datenbank Holds'!J3</f>
        <v>60</v>
      </c>
      <c r="J36" s="67">
        <f>'Datenbank Holds'!K3</f>
        <v>70</v>
      </c>
      <c r="K36" s="67">
        <f>'Datenbank Holds'!L3</f>
        <v>80</v>
      </c>
      <c r="L36" s="67">
        <f>'Datenbank Holds'!M3</f>
        <v>90</v>
      </c>
      <c r="M36" s="67">
        <f>'Datenbank Holds'!N3</f>
        <v>100</v>
      </c>
      <c r="N36" s="67">
        <f>'Datenbank Holds'!O3</f>
        <v>110</v>
      </c>
      <c r="O36" s="67">
        <f>'Datenbank Holds'!P3</f>
        <v>120</v>
      </c>
      <c r="P36" s="67">
        <f>'Datenbank Holds'!Q3</f>
        <v>130</v>
      </c>
      <c r="Q36" s="67">
        <f>'Datenbank Holds'!R3</f>
        <v>140</v>
      </c>
      <c r="R36" s="67">
        <f>'Datenbank Holds'!S3</f>
        <v>150</v>
      </c>
      <c r="S36" s="67">
        <f>'Datenbank Holds'!T3</f>
        <v>160</v>
      </c>
      <c r="T36" s="67">
        <f>'Datenbank Holds'!U3</f>
        <v>170</v>
      </c>
      <c r="U36" s="67">
        <f>'Datenbank Holds'!V3</f>
        <v>180</v>
      </c>
      <c r="V36" s="67">
        <f>'Datenbank Holds'!W3</f>
        <v>190</v>
      </c>
      <c r="W36" s="110"/>
      <c r="X36" s="171" t="s">
        <v>49</v>
      </c>
      <c r="Y36" s="171"/>
    </row>
    <row r="37" spans="2:26" ht="18.75" x14ac:dyDescent="0.3">
      <c r="B37" s="14"/>
      <c r="C37" s="38"/>
      <c r="D37" s="158" t="str">
        <f>IF($A$1=1,"","Screws price per peace")</f>
        <v>Screws price per peace</v>
      </c>
      <c r="E37" s="156"/>
      <c r="F37" s="157"/>
      <c r="G37" s="113">
        <f>IF($A$1=1,"",'Datenbank Holds'!H2)</f>
        <v>0.2</v>
      </c>
      <c r="H37" s="113">
        <f>IF($A$1=1,"",'Datenbank Holds'!I2)</f>
        <v>0.25</v>
      </c>
      <c r="I37" s="113">
        <f>IF($A$1=1,"",'Datenbank Holds'!J2)</f>
        <v>0.25</v>
      </c>
      <c r="J37" s="113">
        <f>IF($A$1=1,"",'Datenbank Holds'!K2)</f>
        <v>0.3</v>
      </c>
      <c r="K37" s="113">
        <f>IF($A$1=1,"",'Datenbank Holds'!L2)</f>
        <v>0.4</v>
      </c>
      <c r="L37" s="113">
        <f>IF($A$1=1,"",'Datenbank Holds'!M2)</f>
        <v>0.5</v>
      </c>
      <c r="M37" s="113">
        <f>IF($A$1=1,"",'Datenbank Holds'!N2)</f>
        <v>0.5</v>
      </c>
      <c r="N37" s="113">
        <f>IF($A$1=1,"",'Datenbank Holds'!O2)</f>
        <v>0.65</v>
      </c>
      <c r="O37" s="113">
        <f>IF($A$1=1,"",'Datenbank Holds'!P2)</f>
        <v>0.7</v>
      </c>
      <c r="P37" s="113">
        <f>IF($A$1=1,"",'Datenbank Holds'!Q2)</f>
        <v>1</v>
      </c>
      <c r="Q37" s="113">
        <f>IF($A$1=1,"",'Datenbank Holds'!R2)</f>
        <v>1.1499999999999999</v>
      </c>
      <c r="R37" s="113">
        <f>IF($A$1=1,"",'Datenbank Holds'!S2)</f>
        <v>2.4</v>
      </c>
      <c r="S37" s="113">
        <f>IF($A$1=1,"",'Datenbank Holds'!T2)</f>
        <v>2.4500000000000002</v>
      </c>
      <c r="T37" s="113">
        <f>IF($A$1=1,"",'Datenbank Holds'!U2)</f>
        <v>2.4500000000000002</v>
      </c>
      <c r="U37" s="113">
        <f>IF($A$1=1,"",'Datenbank Holds'!V2)</f>
        <v>2.4500000000000002</v>
      </c>
      <c r="V37" s="113">
        <f>IF($A$1=1,"",'Datenbank Holds'!W2)</f>
        <v>2.5</v>
      </c>
      <c r="W37" s="111"/>
      <c r="X37" s="184">
        <f>IF($A$1=1,"",'Datenbank Holds'!X2)</f>
        <v>0.1</v>
      </c>
      <c r="Y37" s="185"/>
    </row>
    <row r="38" spans="2:26" ht="18.75" x14ac:dyDescent="0.3">
      <c r="B38" s="14"/>
      <c r="C38" s="38"/>
      <c r="D38" s="158" t="s">
        <v>69</v>
      </c>
      <c r="E38" s="156"/>
      <c r="F38" s="157"/>
      <c r="G38" s="112">
        <f>'Berechnung Holds'!F25</f>
        <v>0</v>
      </c>
      <c r="H38" s="112">
        <f>'Berechnung Holds'!G25</f>
        <v>0</v>
      </c>
      <c r="I38" s="112">
        <f>'Berechnung Holds'!H25</f>
        <v>0</v>
      </c>
      <c r="J38" s="112">
        <f>'Berechnung Holds'!I25</f>
        <v>0</v>
      </c>
      <c r="K38" s="112">
        <f>'Berechnung Holds'!J25</f>
        <v>0</v>
      </c>
      <c r="L38" s="112">
        <f>'Berechnung Holds'!K25</f>
        <v>0</v>
      </c>
      <c r="M38" s="112">
        <f>'Berechnung Holds'!L25</f>
        <v>0</v>
      </c>
      <c r="N38" s="112">
        <f>'Berechnung Holds'!M25</f>
        <v>0</v>
      </c>
      <c r="O38" s="112">
        <f>'Berechnung Holds'!N25</f>
        <v>0</v>
      </c>
      <c r="P38" s="112">
        <f>'Berechnung Holds'!O25</f>
        <v>0</v>
      </c>
      <c r="Q38" s="112">
        <f>'Berechnung Holds'!P25</f>
        <v>0</v>
      </c>
      <c r="R38" s="112">
        <f>'Berechnung Holds'!Q25</f>
        <v>0</v>
      </c>
      <c r="S38" s="112">
        <f>'Berechnung Holds'!R25</f>
        <v>0</v>
      </c>
      <c r="T38" s="112">
        <f>'Berechnung Holds'!S25</f>
        <v>0</v>
      </c>
      <c r="U38" s="112">
        <f>'Berechnung Holds'!T25</f>
        <v>0</v>
      </c>
      <c r="V38" s="112">
        <f>'Berechnung Holds'!U25</f>
        <v>0</v>
      </c>
      <c r="W38" s="68"/>
      <c r="X38" s="172">
        <f>'Berechnung Holds'!V25</f>
        <v>0</v>
      </c>
      <c r="Y38" s="173"/>
    </row>
    <row r="39" spans="2:26" ht="18.75" x14ac:dyDescent="0.3">
      <c r="B39" s="14"/>
      <c r="C39" s="38"/>
      <c r="D39" s="158" t="str">
        <f>IF($A$1=1,"","Screws price (net) total")</f>
        <v>Screws price (net) total</v>
      </c>
      <c r="E39" s="156"/>
      <c r="F39" s="157"/>
      <c r="G39" s="114">
        <f t="shared" ref="G39:V39" si="7">IF($A$1=1,"",IF($J$6="Bolts only",G38*G37,IF($J$6="Bolts&amp;Spax",G38*G37,0)))</f>
        <v>0</v>
      </c>
      <c r="H39" s="114">
        <f t="shared" si="7"/>
        <v>0</v>
      </c>
      <c r="I39" s="114">
        <f t="shared" si="7"/>
        <v>0</v>
      </c>
      <c r="J39" s="114">
        <f t="shared" si="7"/>
        <v>0</v>
      </c>
      <c r="K39" s="114">
        <f t="shared" si="7"/>
        <v>0</v>
      </c>
      <c r="L39" s="114">
        <f t="shared" si="7"/>
        <v>0</v>
      </c>
      <c r="M39" s="114">
        <f t="shared" si="7"/>
        <v>0</v>
      </c>
      <c r="N39" s="114">
        <f t="shared" si="7"/>
        <v>0</v>
      </c>
      <c r="O39" s="114">
        <f t="shared" si="7"/>
        <v>0</v>
      </c>
      <c r="P39" s="114">
        <f t="shared" si="7"/>
        <v>0</v>
      </c>
      <c r="Q39" s="114">
        <f t="shared" si="7"/>
        <v>0</v>
      </c>
      <c r="R39" s="114">
        <f t="shared" si="7"/>
        <v>0</v>
      </c>
      <c r="S39" s="114">
        <f t="shared" si="7"/>
        <v>0</v>
      </c>
      <c r="T39" s="114">
        <f t="shared" si="7"/>
        <v>0</v>
      </c>
      <c r="U39" s="114">
        <f t="shared" si="7"/>
        <v>0</v>
      </c>
      <c r="V39" s="114">
        <f t="shared" si="7"/>
        <v>0</v>
      </c>
      <c r="W39" s="115"/>
      <c r="X39" s="199">
        <f>IF($A$1=1,"",IF(J6="Spax only",X38*X37,IF(J6="Bolts&amp;Spax",X38*X37,0)))</f>
        <v>0</v>
      </c>
      <c r="Y39" s="200"/>
    </row>
    <row r="40" spans="2:26" ht="21" x14ac:dyDescent="0.35">
      <c r="B40" s="14"/>
      <c r="C40" s="38"/>
      <c r="E40" s="14"/>
      <c r="F40" s="14"/>
      <c r="G40" s="14"/>
      <c r="H40" s="15"/>
      <c r="J40" s="15"/>
      <c r="K40" s="15"/>
      <c r="L40" s="15"/>
      <c r="M40" s="15"/>
      <c r="R40" s="15"/>
      <c r="S40" s="17"/>
      <c r="T40" s="36"/>
      <c r="U40" s="37"/>
    </row>
    <row r="41" spans="2:26" ht="21" x14ac:dyDescent="0.35">
      <c r="B41" s="14"/>
      <c r="C41" s="38"/>
      <c r="D41" s="155" t="s">
        <v>26</v>
      </c>
      <c r="E41" s="156"/>
      <c r="F41" s="157"/>
      <c r="G41" s="158">
        <f>SUM(G33:W33)</f>
        <v>0</v>
      </c>
      <c r="H41" s="159"/>
      <c r="I41" s="160"/>
      <c r="K41" s="15"/>
      <c r="L41" s="15"/>
      <c r="M41" s="15"/>
      <c r="R41" s="17"/>
      <c r="S41" s="17"/>
      <c r="T41" s="36"/>
      <c r="U41" s="37"/>
    </row>
    <row r="42" spans="2:26" ht="21" x14ac:dyDescent="0.35">
      <c r="B42" s="14"/>
      <c r="C42" s="38"/>
      <c r="D42" s="155" t="s">
        <v>29</v>
      </c>
      <c r="E42" s="156"/>
      <c r="F42" s="157"/>
      <c r="G42" s="158">
        <f>SUM(G34:W34)</f>
        <v>0</v>
      </c>
      <c r="H42" s="159"/>
      <c r="I42" s="160"/>
      <c r="K42" s="15"/>
      <c r="L42" s="15"/>
      <c r="M42" s="15"/>
      <c r="R42" s="17"/>
      <c r="S42" s="17"/>
      <c r="T42" s="36"/>
      <c r="U42" s="37"/>
    </row>
    <row r="43" spans="2:26" ht="21" x14ac:dyDescent="0.35">
      <c r="B43" s="14"/>
      <c r="C43" s="38"/>
      <c r="D43" s="155" t="str">
        <f>IF(A1=1,"","Total price holds")</f>
        <v>Total price holds</v>
      </c>
      <c r="E43" s="156"/>
      <c r="F43" s="157"/>
      <c r="G43" s="161">
        <f>IF(A1=1,"",SUM(Y11:Y31))</f>
        <v>0</v>
      </c>
      <c r="H43" s="162"/>
      <c r="I43" s="163"/>
      <c r="K43" s="15"/>
      <c r="L43" s="15"/>
      <c r="M43" s="15"/>
      <c r="R43" s="17"/>
      <c r="S43" s="17"/>
      <c r="T43" s="36"/>
      <c r="U43" s="37"/>
    </row>
    <row r="44" spans="2:26" ht="21" x14ac:dyDescent="0.35">
      <c r="B44" s="14"/>
      <c r="C44" s="38"/>
      <c r="D44" s="155" t="str">
        <f>IF(A1=1,"","Total price screws")</f>
        <v>Total price screws</v>
      </c>
      <c r="E44" s="156"/>
      <c r="F44" s="157"/>
      <c r="G44" s="161">
        <f>IF(A1=1,"",SUM(G39:Y39))</f>
        <v>0</v>
      </c>
      <c r="H44" s="162"/>
      <c r="I44" s="163"/>
      <c r="K44" s="15"/>
      <c r="L44" s="15"/>
      <c r="M44" s="15"/>
      <c r="N44" s="15"/>
      <c r="O44" s="15"/>
      <c r="P44" s="15"/>
      <c r="Q44" s="15"/>
      <c r="R44" s="17"/>
      <c r="S44" s="17"/>
      <c r="T44" s="36"/>
      <c r="U44" s="37"/>
    </row>
    <row r="45" spans="2:26" ht="21" x14ac:dyDescent="0.35">
      <c r="B45" s="14"/>
      <c r="C45" s="38"/>
      <c r="D45" s="39"/>
      <c r="J45" s="15"/>
      <c r="K45" s="15"/>
      <c r="L45" s="15"/>
      <c r="M45" s="15"/>
      <c r="N45" s="15"/>
      <c r="O45" s="15"/>
      <c r="P45" s="15"/>
      <c r="Q45" s="15"/>
      <c r="R45" s="17"/>
      <c r="S45" s="17"/>
      <c r="T45" s="36"/>
      <c r="U45" s="37"/>
    </row>
    <row r="46" spans="2:26" ht="21" hidden="1" x14ac:dyDescent="0.35">
      <c r="C46" s="48"/>
      <c r="R46" s="17"/>
      <c r="S46" s="17"/>
      <c r="T46" s="36"/>
      <c r="U46" s="37"/>
    </row>
    <row r="47" spans="2:26" ht="21" hidden="1" x14ac:dyDescent="0.35">
      <c r="C47" s="49"/>
      <c r="R47" s="17"/>
      <c r="S47" s="17"/>
      <c r="T47" s="36"/>
      <c r="U47" s="37"/>
    </row>
    <row r="48" spans="2:26" ht="21" hidden="1" x14ac:dyDescent="0.35">
      <c r="C48" s="49"/>
      <c r="R48" s="17"/>
      <c r="S48" s="17"/>
      <c r="T48" s="36"/>
      <c r="U48" s="37"/>
    </row>
    <row r="49" spans="3:21" ht="21" hidden="1" x14ac:dyDescent="0.35">
      <c r="C49" s="49"/>
      <c r="R49" s="17"/>
      <c r="S49" s="17"/>
      <c r="T49" s="36"/>
      <c r="U49" s="37"/>
    </row>
    <row r="50" spans="3:21" ht="21" hidden="1" x14ac:dyDescent="0.35">
      <c r="C50" s="49"/>
      <c r="R50" s="17"/>
      <c r="S50" s="17"/>
      <c r="T50" s="36"/>
      <c r="U50" s="37"/>
    </row>
    <row r="51" spans="3:21" ht="21" hidden="1" x14ac:dyDescent="0.35">
      <c r="C51" s="49"/>
      <c r="R51" s="17"/>
      <c r="S51" s="17"/>
      <c r="T51" s="17"/>
      <c r="U51" s="40"/>
    </row>
    <row r="52" spans="3:21" ht="21" hidden="1" x14ac:dyDescent="0.35">
      <c r="C52" s="49"/>
      <c r="R52" s="17"/>
      <c r="S52" s="17"/>
      <c r="T52" s="17"/>
    </row>
    <row r="53" spans="3:21" ht="21" hidden="1" x14ac:dyDescent="0.35">
      <c r="C53" s="49"/>
      <c r="R53" s="17"/>
      <c r="S53" s="17"/>
      <c r="T53" s="17"/>
    </row>
    <row r="54" spans="3:21" ht="21" hidden="1" x14ac:dyDescent="0.35">
      <c r="C54" s="49"/>
      <c r="R54" s="17"/>
      <c r="S54" s="17"/>
      <c r="T54" s="17"/>
    </row>
    <row r="55" spans="3:21" ht="21" hidden="1" x14ac:dyDescent="0.35">
      <c r="C55" s="49"/>
      <c r="R55" s="17"/>
      <c r="S55" s="17"/>
      <c r="T55" s="17"/>
    </row>
    <row r="56" spans="3:21" hidden="1" x14ac:dyDescent="0.25">
      <c r="R56" s="17"/>
      <c r="S56" s="17"/>
      <c r="T56" s="17"/>
    </row>
    <row r="57" spans="3:21" hidden="1" x14ac:dyDescent="0.25">
      <c r="R57" s="17"/>
      <c r="S57" s="17"/>
      <c r="T57" s="17"/>
    </row>
    <row r="58" spans="3:21" hidden="1" x14ac:dyDescent="0.25">
      <c r="R58" s="17"/>
      <c r="S58" s="17"/>
      <c r="T58" s="17"/>
    </row>
    <row r="59" spans="3:21" hidden="1" x14ac:dyDescent="0.25">
      <c r="R59" s="17"/>
      <c r="S59" s="17"/>
      <c r="T59" s="17"/>
    </row>
    <row r="60" spans="3:21" hidden="1" x14ac:dyDescent="0.25">
      <c r="R60" s="17"/>
      <c r="S60" s="17"/>
      <c r="T60" s="17"/>
    </row>
    <row r="61" spans="3:21" hidden="1" x14ac:dyDescent="0.25">
      <c r="R61" s="17"/>
      <c r="S61" s="17"/>
      <c r="T61" s="17"/>
    </row>
    <row r="62" spans="3:21" hidden="1" x14ac:dyDescent="0.25">
      <c r="R62" s="17"/>
      <c r="S62" s="17"/>
    </row>
    <row r="63" spans="3:21" hidden="1" x14ac:dyDescent="0.25">
      <c r="R63" s="41"/>
      <c r="S63" s="41"/>
    </row>
    <row r="64" spans="3:21" hidden="1" x14ac:dyDescent="0.25">
      <c r="R64" s="41"/>
      <c r="S64" s="41"/>
    </row>
    <row r="65" spans="1:26" hidden="1" x14ac:dyDescent="0.25">
      <c r="R65" s="41"/>
      <c r="S65" s="41"/>
    </row>
    <row r="66" spans="1:26" hidden="1" x14ac:dyDescent="0.25">
      <c r="R66" s="41"/>
      <c r="S66" s="41"/>
    </row>
    <row r="67" spans="1:26" hidden="1" x14ac:dyDescent="0.25">
      <c r="R67" s="17"/>
      <c r="S67" s="17"/>
    </row>
    <row r="68" spans="1:26" x14ac:dyDescent="0.25">
      <c r="B68" s="176" t="s">
        <v>72</v>
      </c>
      <c r="C68" s="176"/>
      <c r="D68" s="176"/>
    </row>
    <row r="69" spans="1:26" x14ac:dyDescent="0.25">
      <c r="A69" s="82">
        <v>19</v>
      </c>
      <c r="B69" s="176" t="s">
        <v>89</v>
      </c>
      <c r="C69" s="176"/>
      <c r="D69" s="176"/>
      <c r="E69" s="176"/>
      <c r="F69" s="176"/>
      <c r="G69" s="176"/>
      <c r="H69" s="176"/>
      <c r="I69" s="176"/>
      <c r="Z69" s="82"/>
    </row>
    <row r="70" spans="1:26" x14ac:dyDescent="0.25"/>
    <row r="71" spans="1:26" x14ac:dyDescent="0.25"/>
    <row r="72" spans="1:26" x14ac:dyDescent="0.25"/>
    <row r="73" spans="1:26" x14ac:dyDescent="0.25"/>
    <row r="74" spans="1:26" x14ac:dyDescent="0.25"/>
    <row r="75" spans="1:26" x14ac:dyDescent="0.25"/>
    <row r="76" spans="1:26" x14ac:dyDescent="0.25"/>
    <row r="77" spans="1:26" x14ac:dyDescent="0.25"/>
    <row r="78" spans="1:26" x14ac:dyDescent="0.25"/>
    <row r="79" spans="1:26" x14ac:dyDescent="0.25"/>
    <row r="80" spans="1:26" x14ac:dyDescent="0.25"/>
    <row r="81" spans="1:26" x14ac:dyDescent="0.25"/>
    <row r="82" spans="1:26" x14ac:dyDescent="0.25"/>
    <row r="83" spans="1:26" x14ac:dyDescent="0.25"/>
    <row r="84" spans="1:26" x14ac:dyDescent="0.25"/>
    <row r="85" spans="1:26" hidden="1" x14ac:dyDescent="0.25">
      <c r="B85" s="103"/>
    </row>
    <row r="86" spans="1:26" hidden="1" x14ac:dyDescent="0.25">
      <c r="Z86" s="82"/>
    </row>
    <row r="87" spans="1:26" x14ac:dyDescent="0.25"/>
    <row r="88" spans="1:26" x14ac:dyDescent="0.25"/>
    <row r="89" spans="1:26" x14ac:dyDescent="0.25"/>
    <row r="90" spans="1:26" x14ac:dyDescent="0.25"/>
    <row r="91" spans="1:26" x14ac:dyDescent="0.25"/>
    <row r="92" spans="1:26" hidden="1" x14ac:dyDescent="0.25">
      <c r="A92" s="82">
        <v>19</v>
      </c>
      <c r="Z92" s="121"/>
    </row>
    <row r="93" spans="1:26" x14ac:dyDescent="0.25"/>
    <row r="94" spans="1:26" x14ac:dyDescent="0.25"/>
    <row r="95" spans="1:26" x14ac:dyDescent="0.25"/>
    <row r="96" spans="1:2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63" x14ac:dyDescent="0.25"/>
    <row r="264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</sheetData>
  <sheetProtection algorithmName="SHA-512" hashValue="ImGbqAf2twvygOs7n2QJ/whfSZAThcKf2LoTpe2mqQFL8aySemT5qg5mvux1Qn3p0PKhfETFy/rUqjHatyShfg==" saltValue="U48DfyUnFuttXygLiuMJlA==" spinCount="100000" sheet="1" selectLockedCells="1"/>
  <mergeCells count="38">
    <mergeCell ref="I3:K3"/>
    <mergeCell ref="J5:K5"/>
    <mergeCell ref="J6:K6"/>
    <mergeCell ref="B69:I69"/>
    <mergeCell ref="S3:V3"/>
    <mergeCell ref="T8:W8"/>
    <mergeCell ref="W3:Y3"/>
    <mergeCell ref="B68:D68"/>
    <mergeCell ref="W4:Y4"/>
    <mergeCell ref="X37:Y37"/>
    <mergeCell ref="W5:Y5"/>
    <mergeCell ref="W6:Y6"/>
    <mergeCell ref="S4:V4"/>
    <mergeCell ref="S6:V6"/>
    <mergeCell ref="S5:V5"/>
    <mergeCell ref="X39:Y39"/>
    <mergeCell ref="D44:F44"/>
    <mergeCell ref="G44:I44"/>
    <mergeCell ref="X36:Y36"/>
    <mergeCell ref="X38:Y38"/>
    <mergeCell ref="D36:F36"/>
    <mergeCell ref="D38:F38"/>
    <mergeCell ref="B1:D2"/>
    <mergeCell ref="D41:F41"/>
    <mergeCell ref="D42:F42"/>
    <mergeCell ref="D43:F43"/>
    <mergeCell ref="G41:I41"/>
    <mergeCell ref="G42:I42"/>
    <mergeCell ref="G43:I43"/>
    <mergeCell ref="C4:F4"/>
    <mergeCell ref="C3:F3"/>
    <mergeCell ref="I1:M1"/>
    <mergeCell ref="D37:F37"/>
    <mergeCell ref="D39:F39"/>
    <mergeCell ref="B5:F5"/>
    <mergeCell ref="D33:F33"/>
    <mergeCell ref="D34:F34"/>
    <mergeCell ref="B6:F6"/>
  </mergeCells>
  <phoneticPr fontId="9" type="noConversion"/>
  <dataValidations count="3">
    <dataValidation type="list" showInputMessage="1" showErrorMessage="1" promptTitle="Should screws be included?" prompt="If screws should be added, the total price will be adjusted automatically. The screw price is displayed at the end of the table" sqref="J6" xr:uid="{C3C49E7F-0F6A-4D8B-AD06-37FA82EA6AF1}">
      <formula1>"No,Spax only,Bolts only,Bolts&amp;Spax"</formula1>
    </dataValidation>
    <dataValidation type="list" allowBlank="1" showInputMessage="1" showErrorMessage="1" promptTitle="Packing options" prompt="Single: All sets are packed in a single carton_x000a_Bundle: The sets are packed together in as few boxes as possible to save packaging material" sqref="J5" xr:uid="{51679D3B-4D07-4FC7-B62A-093D0F79114E}">
      <formula1>"Select,Bundle,Single"</formula1>
    </dataValidation>
    <dataValidation type="whole" allowBlank="1" showErrorMessage="1" errorTitle="Fehlerhaften Wert eingegeben" error="Bitte geben Sie eine positive ganze Zahl ohne Leerzeichen ein." sqref="G10:W31" xr:uid="{00000000-0002-0000-0000-000001000000}">
      <formula1>0</formula1>
      <formula2>9999</formula2>
    </dataValidation>
  </dataValidations>
  <pageMargins left="0.23622047244094491" right="0.23622047244094491" top="0.74803149606299213" bottom="0.74803149606299213" header="0.31496062992125984" footer="0.31496062992125984"/>
  <pageSetup paperSize="9" scale="54" fitToHeight="0" orientation="portrait" r:id="rId1"/>
  <headerFooter>
    <oddFooter>&amp;R&amp;9V.1.3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>
    <pageSetUpPr fitToPage="1"/>
  </sheetPr>
  <dimension ref="B1:AI291"/>
  <sheetViews>
    <sheetView zoomScale="85" zoomScaleNormal="85" workbookViewId="0">
      <pane ySplit="3" topLeftCell="A4" activePane="bottomLeft" state="frozen"/>
      <selection activeCell="L12" sqref="L12"/>
      <selection pane="bottomLeft" activeCell="AC21" sqref="AC21"/>
    </sheetView>
  </sheetViews>
  <sheetFormatPr baseColWidth="10" defaultRowHeight="15.75" zeroHeight="1" x14ac:dyDescent="0.25"/>
  <cols>
    <col min="2" max="2" width="11.25" style="98"/>
    <col min="3" max="3" width="25.75" customWidth="1"/>
    <col min="4" max="5" width="14.125" customWidth="1"/>
    <col min="6" max="6" width="17.625" customWidth="1"/>
    <col min="7" max="7" width="8" customWidth="1"/>
    <col min="8" max="23" width="5.75" customWidth="1"/>
    <col min="24" max="24" width="7.375" customWidth="1"/>
    <col min="25" max="26" width="6.125" customWidth="1"/>
    <col min="30" max="31" width="5" customWidth="1"/>
  </cols>
  <sheetData>
    <row r="1" spans="2:35" ht="16.5" thickBot="1" x14ac:dyDescent="0.3">
      <c r="I1" s="3" t="s">
        <v>14</v>
      </c>
      <c r="AA1" s="3" t="s">
        <v>4</v>
      </c>
      <c r="AB1" s="3"/>
      <c r="AF1" t="s">
        <v>5</v>
      </c>
    </row>
    <row r="2" spans="2:35" ht="16.5" thickBot="1" x14ac:dyDescent="0.3">
      <c r="F2" s="104" t="s">
        <v>66</v>
      </c>
      <c r="G2" s="105"/>
      <c r="H2" s="106">
        <v>0.2</v>
      </c>
      <c r="I2" s="107">
        <v>0.25</v>
      </c>
      <c r="J2" s="108">
        <v>0.25</v>
      </c>
      <c r="K2" s="108">
        <v>0.3</v>
      </c>
      <c r="L2" s="108">
        <v>0.4</v>
      </c>
      <c r="M2" s="108">
        <v>0.5</v>
      </c>
      <c r="N2" s="108">
        <v>0.5</v>
      </c>
      <c r="O2" s="108">
        <v>0.65</v>
      </c>
      <c r="P2" s="108">
        <v>0.7</v>
      </c>
      <c r="Q2" s="108">
        <v>1</v>
      </c>
      <c r="R2" s="108">
        <v>1.1499999999999999</v>
      </c>
      <c r="S2" s="108">
        <v>2.4</v>
      </c>
      <c r="T2" s="108">
        <v>2.4500000000000002</v>
      </c>
      <c r="U2" s="108">
        <v>2.4500000000000002</v>
      </c>
      <c r="V2" s="108">
        <v>2.4500000000000002</v>
      </c>
      <c r="W2" s="108">
        <v>2.5</v>
      </c>
      <c r="X2" s="109">
        <v>0.1</v>
      </c>
      <c r="AA2" s="3"/>
      <c r="AB2" s="3"/>
    </row>
    <row r="3" spans="2:35" ht="18.75" x14ac:dyDescent="0.3">
      <c r="B3" s="98" t="s">
        <v>16</v>
      </c>
      <c r="D3" t="s">
        <v>61</v>
      </c>
      <c r="E3" t="s">
        <v>62</v>
      </c>
      <c r="F3" t="s">
        <v>60</v>
      </c>
      <c r="G3" t="s">
        <v>55</v>
      </c>
      <c r="H3" s="2">
        <v>40</v>
      </c>
      <c r="I3" s="2">
        <v>50</v>
      </c>
      <c r="J3" s="2">
        <v>60</v>
      </c>
      <c r="K3" s="2">
        <v>70</v>
      </c>
      <c r="L3" s="2">
        <v>80</v>
      </c>
      <c r="M3" s="2">
        <v>90</v>
      </c>
      <c r="N3" s="2">
        <v>100</v>
      </c>
      <c r="O3" s="2">
        <v>110</v>
      </c>
      <c r="P3" s="2">
        <v>120</v>
      </c>
      <c r="Q3" s="2">
        <v>130</v>
      </c>
      <c r="R3" s="2">
        <v>140</v>
      </c>
      <c r="S3" s="2">
        <v>150</v>
      </c>
      <c r="T3" s="2">
        <v>160</v>
      </c>
      <c r="U3" s="2">
        <v>170</v>
      </c>
      <c r="V3" s="2">
        <v>180</v>
      </c>
      <c r="W3" s="2">
        <v>190</v>
      </c>
      <c r="X3" s="8" t="s">
        <v>18</v>
      </c>
      <c r="AA3">
        <f>HOLDS!A69</f>
        <v>19</v>
      </c>
      <c r="AB3" t="s">
        <v>3</v>
      </c>
      <c r="AC3" t="s">
        <v>65</v>
      </c>
      <c r="AF3" t="s">
        <v>6</v>
      </c>
      <c r="AI3" t="s">
        <v>32</v>
      </c>
    </row>
    <row r="4" spans="2:35" ht="18.75" x14ac:dyDescent="0.3">
      <c r="B4" s="99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1"/>
      <c r="P4" s="21"/>
      <c r="Q4" s="6"/>
      <c r="R4" s="21"/>
      <c r="S4" s="21"/>
      <c r="T4" s="21"/>
      <c r="U4" s="21"/>
      <c r="V4" s="21"/>
      <c r="W4" s="21"/>
      <c r="X4" s="10"/>
      <c r="Y4" s="4"/>
      <c r="Z4" s="4"/>
      <c r="AA4" s="20" t="s">
        <v>30</v>
      </c>
      <c r="AB4" s="20"/>
      <c r="AC4" s="20"/>
      <c r="AD4" s="10"/>
      <c r="AE4" s="10"/>
      <c r="AF4" s="20"/>
    </row>
    <row r="5" spans="2:35" ht="18.75" x14ac:dyDescent="0.3">
      <c r="B5" s="100" t="s">
        <v>118</v>
      </c>
      <c r="C5" s="123" t="s">
        <v>115</v>
      </c>
      <c r="D5" s="7" t="str">
        <f>CONCATENATE(E5,F5)</f>
        <v>XS-XL</v>
      </c>
      <c r="E5" s="7" t="s">
        <v>93</v>
      </c>
      <c r="F5" s="7" t="str">
        <f t="shared" ref="F5:F12" si="0">IF(SUM(H5:W5)=0," (Screw-On)","")</f>
        <v/>
      </c>
      <c r="G5" s="7">
        <f>SUM(G6:G24)</f>
        <v>134</v>
      </c>
      <c r="H5" s="7">
        <f t="shared" ref="H5:X5" si="1">SUM(H11:H24)</f>
        <v>30</v>
      </c>
      <c r="I5" s="7">
        <f t="shared" si="1"/>
        <v>0</v>
      </c>
      <c r="J5" s="7">
        <f t="shared" si="1"/>
        <v>15</v>
      </c>
      <c r="K5" s="7">
        <f t="shared" si="1"/>
        <v>0</v>
      </c>
      <c r="L5" s="7">
        <f t="shared" si="1"/>
        <v>15</v>
      </c>
      <c r="M5" s="7">
        <f t="shared" si="1"/>
        <v>0</v>
      </c>
      <c r="N5" s="7">
        <f t="shared" si="1"/>
        <v>0</v>
      </c>
      <c r="O5" s="7">
        <f t="shared" si="1"/>
        <v>6</v>
      </c>
      <c r="P5" s="7">
        <f t="shared" si="1"/>
        <v>0</v>
      </c>
      <c r="Q5" s="7">
        <f t="shared" si="1"/>
        <v>0</v>
      </c>
      <c r="R5" s="7">
        <f t="shared" si="1"/>
        <v>0</v>
      </c>
      <c r="S5" s="7">
        <f t="shared" si="1"/>
        <v>0</v>
      </c>
      <c r="T5" s="7">
        <f t="shared" si="1"/>
        <v>0</v>
      </c>
      <c r="U5" s="7">
        <f t="shared" si="1"/>
        <v>0</v>
      </c>
      <c r="V5" s="7">
        <f t="shared" si="1"/>
        <v>0</v>
      </c>
      <c r="W5" s="7">
        <f t="shared" si="1"/>
        <v>0</v>
      </c>
      <c r="X5" s="7">
        <f t="shared" si="1"/>
        <v>108</v>
      </c>
      <c r="Y5" s="84"/>
      <c r="Z5" s="84"/>
      <c r="AA5" s="20">
        <f>AC5*($AA$3/100+1)</f>
        <v>2872.6004999999996</v>
      </c>
      <c r="AB5" s="7">
        <f>SUM(AB6:AB24)*0.95</f>
        <v>2413.9499999999998</v>
      </c>
      <c r="AC5" s="20">
        <f>AB5*(1+HOLDS!$Z$69/100)</f>
        <v>2413.9499999999998</v>
      </c>
      <c r="AD5" s="10"/>
      <c r="AE5" s="10"/>
      <c r="AF5" s="7">
        <f>SUM(AF6:AF24)*0.95</f>
        <v>85.642499999999998</v>
      </c>
      <c r="AG5" s="85" t="str">
        <f>PROPER(C5)</f>
        <v>Kendo Set</v>
      </c>
      <c r="AH5" s="85"/>
      <c r="AI5" s="85">
        <v>1</v>
      </c>
    </row>
    <row r="6" spans="2:35" ht="18.75" x14ac:dyDescent="0.3">
      <c r="B6" s="100" t="s">
        <v>119</v>
      </c>
      <c r="C6" s="7" t="s">
        <v>116</v>
      </c>
      <c r="D6" s="7" t="str">
        <f>CONCATENATE(E6,F6)</f>
        <v>XXL</v>
      </c>
      <c r="E6" s="7" t="s">
        <v>52</v>
      </c>
      <c r="F6" s="7" t="str">
        <f t="shared" si="0"/>
        <v/>
      </c>
      <c r="G6" s="7">
        <v>2</v>
      </c>
      <c r="H6" s="6"/>
      <c r="I6" s="10"/>
      <c r="J6" s="10"/>
      <c r="K6" s="10"/>
      <c r="L6" s="10"/>
      <c r="M6" s="10"/>
      <c r="N6" s="10"/>
      <c r="O6" s="84"/>
      <c r="P6" s="84">
        <v>1</v>
      </c>
      <c r="Q6" s="10"/>
      <c r="R6" s="84">
        <v>1</v>
      </c>
      <c r="S6" s="84"/>
      <c r="T6" s="84"/>
      <c r="U6" s="84"/>
      <c r="V6" s="84"/>
      <c r="W6" s="84"/>
      <c r="X6" s="10"/>
      <c r="Y6" s="84"/>
      <c r="Z6" s="84"/>
      <c r="AA6" s="20">
        <f>AC6*($AA$3/100+1)</f>
        <v>272.51</v>
      </c>
      <c r="AB6" s="20">
        <v>229</v>
      </c>
      <c r="AC6" s="20">
        <f>AB6*(1+HOLDS!$Z$69/100)</f>
        <v>229</v>
      </c>
      <c r="AD6" s="10"/>
      <c r="AE6" s="10"/>
      <c r="AF6" s="86">
        <v>10</v>
      </c>
      <c r="AG6" s="85" t="str">
        <f>PROPER(C6)</f>
        <v>Kendo Jugs 1</v>
      </c>
      <c r="AH6" s="85"/>
      <c r="AI6" s="85">
        <v>2</v>
      </c>
    </row>
    <row r="7" spans="2:35" ht="18.75" x14ac:dyDescent="0.3">
      <c r="B7" s="100" t="s">
        <v>156</v>
      </c>
      <c r="C7" s="7" t="s">
        <v>157</v>
      </c>
      <c r="D7" s="7" t="str">
        <f t="shared" ref="D7:D18" si="2">CONCATENATE(E7,F7)</f>
        <v>XXL</v>
      </c>
      <c r="E7" s="7" t="s">
        <v>52</v>
      </c>
      <c r="F7" s="7"/>
      <c r="G7" s="7">
        <v>2</v>
      </c>
      <c r="H7" s="6"/>
      <c r="I7" s="10"/>
      <c r="J7" s="10"/>
      <c r="K7" s="10"/>
      <c r="L7" s="10"/>
      <c r="M7" s="10"/>
      <c r="N7" s="10"/>
      <c r="O7" s="84">
        <v>2</v>
      </c>
      <c r="P7" s="84"/>
      <c r="Q7" s="10"/>
      <c r="R7" s="84"/>
      <c r="S7" s="84"/>
      <c r="T7" s="84"/>
      <c r="U7" s="84"/>
      <c r="V7" s="84"/>
      <c r="W7" s="84"/>
      <c r="X7" s="10"/>
      <c r="Y7" s="84"/>
      <c r="Z7" s="84"/>
      <c r="AA7" s="20">
        <f t="shared" ref="AA7:AA10" si="3">AC7*($AA$3/100+1)</f>
        <v>236.81</v>
      </c>
      <c r="AB7" s="20">
        <v>199</v>
      </c>
      <c r="AC7" s="20">
        <f>AB7*(1+HOLDS!$Z$69/100)</f>
        <v>199</v>
      </c>
      <c r="AD7" s="10"/>
      <c r="AE7" s="10"/>
      <c r="AF7" s="86">
        <v>9.1</v>
      </c>
      <c r="AG7" s="85"/>
      <c r="AH7" s="85"/>
      <c r="AI7" s="85"/>
    </row>
    <row r="8" spans="2:35" ht="18.75" x14ac:dyDescent="0.3">
      <c r="B8" s="100" t="s">
        <v>120</v>
      </c>
      <c r="C8" s="7" t="s">
        <v>141</v>
      </c>
      <c r="D8" s="7" t="str">
        <f t="shared" si="2"/>
        <v>XXl</v>
      </c>
      <c r="E8" s="7" t="s">
        <v>135</v>
      </c>
      <c r="F8" s="7" t="str">
        <f t="shared" si="0"/>
        <v/>
      </c>
      <c r="G8" s="7">
        <v>2</v>
      </c>
      <c r="H8" s="6"/>
      <c r="I8" s="10"/>
      <c r="J8" s="10"/>
      <c r="K8" s="10"/>
      <c r="L8" s="10"/>
      <c r="M8" s="10"/>
      <c r="N8" s="10"/>
      <c r="O8" s="84"/>
      <c r="P8" s="84">
        <v>2</v>
      </c>
      <c r="Q8" s="10"/>
      <c r="R8" s="84"/>
      <c r="S8" s="84"/>
      <c r="T8" s="84"/>
      <c r="U8" s="84"/>
      <c r="V8" s="84"/>
      <c r="W8" s="84"/>
      <c r="X8" s="10"/>
      <c r="Y8" s="84"/>
      <c r="Z8" s="84"/>
      <c r="AA8" s="20">
        <f t="shared" si="3"/>
        <v>236.81</v>
      </c>
      <c r="AB8" s="20">
        <v>199</v>
      </c>
      <c r="AC8" s="20">
        <f>AB8*(1+HOLDS!$Z$69/100)</f>
        <v>199</v>
      </c>
      <c r="AD8" s="10"/>
      <c r="AE8" s="10"/>
      <c r="AF8" s="86">
        <v>8.5</v>
      </c>
      <c r="AG8" s="85" t="str">
        <f t="shared" ref="AG8:AG16" si="4">PROPER(C8)</f>
        <v>Kendo Good Edges 1</v>
      </c>
      <c r="AH8" s="85"/>
      <c r="AI8" s="85">
        <v>3</v>
      </c>
    </row>
    <row r="9" spans="2:35" ht="18.75" x14ac:dyDescent="0.3">
      <c r="B9" s="100" t="s">
        <v>121</v>
      </c>
      <c r="C9" s="7" t="s">
        <v>142</v>
      </c>
      <c r="D9" s="7" t="str">
        <f t="shared" si="2"/>
        <v>XXL</v>
      </c>
      <c r="E9" s="7" t="s">
        <v>52</v>
      </c>
      <c r="F9" s="7" t="str">
        <f t="shared" si="0"/>
        <v/>
      </c>
      <c r="G9" s="7">
        <v>2</v>
      </c>
      <c r="H9" s="6"/>
      <c r="I9" s="10"/>
      <c r="J9" s="10"/>
      <c r="K9" s="10"/>
      <c r="L9" s="10">
        <v>2</v>
      </c>
      <c r="M9" s="10"/>
      <c r="N9" s="10"/>
      <c r="O9" s="84"/>
      <c r="P9" s="84"/>
      <c r="Q9" s="10"/>
      <c r="R9" s="84"/>
      <c r="S9" s="84"/>
      <c r="T9" s="84"/>
      <c r="U9" s="84"/>
      <c r="V9" s="84"/>
      <c r="W9" s="84"/>
      <c r="X9" s="10"/>
      <c r="Y9" s="84"/>
      <c r="Z9" s="84"/>
      <c r="AA9" s="20">
        <f t="shared" si="3"/>
        <v>141.60999999999999</v>
      </c>
      <c r="AB9" s="20">
        <v>119</v>
      </c>
      <c r="AC9" s="20">
        <f>AB9*(1+HOLDS!$Z$69/100)</f>
        <v>119</v>
      </c>
      <c r="AD9" s="10"/>
      <c r="AE9" s="10"/>
      <c r="AF9" s="86">
        <v>4.8</v>
      </c>
      <c r="AG9" s="85" t="str">
        <f t="shared" si="4"/>
        <v>Kendo Bad Edges 1</v>
      </c>
      <c r="AH9" s="85"/>
      <c r="AI9" s="85">
        <v>4</v>
      </c>
    </row>
    <row r="10" spans="2:35" ht="18.75" x14ac:dyDescent="0.3">
      <c r="B10" s="100" t="s">
        <v>155</v>
      </c>
      <c r="C10" s="7" t="s">
        <v>158</v>
      </c>
      <c r="D10" s="7" t="str">
        <f t="shared" si="2"/>
        <v>XL</v>
      </c>
      <c r="E10" s="7" t="s">
        <v>7</v>
      </c>
      <c r="F10" s="7"/>
      <c r="G10" s="7">
        <v>6</v>
      </c>
      <c r="H10" s="6"/>
      <c r="I10" s="10"/>
      <c r="J10" s="10">
        <v>2</v>
      </c>
      <c r="K10" s="10"/>
      <c r="L10" s="10">
        <v>4</v>
      </c>
      <c r="M10" s="10"/>
      <c r="N10" s="10"/>
      <c r="O10" s="84"/>
      <c r="P10" s="84"/>
      <c r="Q10" s="10"/>
      <c r="R10" s="84"/>
      <c r="S10" s="84"/>
      <c r="T10" s="84"/>
      <c r="U10" s="84"/>
      <c r="V10" s="84"/>
      <c r="W10" s="84"/>
      <c r="X10" s="10"/>
      <c r="Y10" s="84"/>
      <c r="Z10" s="84"/>
      <c r="AA10" s="20">
        <f t="shared" si="3"/>
        <v>236.81</v>
      </c>
      <c r="AB10" s="20">
        <v>199</v>
      </c>
      <c r="AC10" s="20">
        <f>AB10*(1+HOLDS!$Z$69/100)</f>
        <v>199</v>
      </c>
      <c r="AD10" s="10"/>
      <c r="AE10" s="10"/>
      <c r="AF10" s="86">
        <v>7</v>
      </c>
      <c r="AG10" s="85" t="str">
        <f t="shared" si="4"/>
        <v>*New* Kendo Good Jugs 4</v>
      </c>
      <c r="AH10" s="85"/>
      <c r="AI10" s="85"/>
    </row>
    <row r="11" spans="2:35" ht="18.75" x14ac:dyDescent="0.3">
      <c r="B11" s="100" t="s">
        <v>122</v>
      </c>
      <c r="C11" s="7" t="s">
        <v>143</v>
      </c>
      <c r="D11" s="7" t="str">
        <f t="shared" si="2"/>
        <v>XL</v>
      </c>
      <c r="E11" s="7" t="s">
        <v>7</v>
      </c>
      <c r="F11" s="7" t="str">
        <f t="shared" si="0"/>
        <v/>
      </c>
      <c r="G11" s="7">
        <v>6</v>
      </c>
      <c r="H11" s="6"/>
      <c r="I11" s="10"/>
      <c r="J11" s="10"/>
      <c r="K11" s="10"/>
      <c r="L11" s="10"/>
      <c r="M11" s="10"/>
      <c r="N11" s="10"/>
      <c r="O11" s="84">
        <v>6</v>
      </c>
      <c r="P11" s="84"/>
      <c r="Q11" s="10"/>
      <c r="R11" s="84"/>
      <c r="S11" s="84"/>
      <c r="T11" s="84"/>
      <c r="U11" s="84"/>
      <c r="V11" s="84"/>
      <c r="W11" s="84"/>
      <c r="X11" s="10"/>
      <c r="Y11" s="84"/>
      <c r="Z11" s="84"/>
      <c r="AA11" s="20">
        <f t="shared" ref="AA11:AA16" si="5">AC11*($AA$3/100+1)</f>
        <v>355.81</v>
      </c>
      <c r="AB11" s="20">
        <v>299</v>
      </c>
      <c r="AC11" s="20">
        <f>AB11*(1+HOLDS!$Z$69/100)</f>
        <v>299</v>
      </c>
      <c r="AD11" s="10"/>
      <c r="AE11" s="10"/>
      <c r="AF11" s="86">
        <v>11.8</v>
      </c>
      <c r="AG11" s="85" t="str">
        <f t="shared" si="4"/>
        <v>Kendo Good Edges 2</v>
      </c>
      <c r="AH11" s="85"/>
      <c r="AI11" s="85">
        <v>5</v>
      </c>
    </row>
    <row r="12" spans="2:35" ht="18.75" x14ac:dyDescent="0.3">
      <c r="B12" s="100" t="s">
        <v>123</v>
      </c>
      <c r="C12" s="7" t="s">
        <v>146</v>
      </c>
      <c r="D12" s="7" t="str">
        <f t="shared" si="2"/>
        <v>XL</v>
      </c>
      <c r="E12" s="7" t="s">
        <v>7</v>
      </c>
      <c r="F12" s="7" t="str">
        <f t="shared" si="0"/>
        <v/>
      </c>
      <c r="G12" s="7">
        <v>6</v>
      </c>
      <c r="H12" s="6">
        <v>6</v>
      </c>
      <c r="I12" s="10"/>
      <c r="J12" s="10"/>
      <c r="K12" s="10"/>
      <c r="L12" s="10"/>
      <c r="M12" s="10"/>
      <c r="N12" s="10"/>
      <c r="O12" s="84"/>
      <c r="P12" s="84"/>
      <c r="Q12" s="10"/>
      <c r="R12" s="84"/>
      <c r="S12" s="84"/>
      <c r="T12" s="84"/>
      <c r="U12" s="84"/>
      <c r="V12" s="84"/>
      <c r="W12" s="84"/>
      <c r="X12" s="10"/>
      <c r="Y12" s="84"/>
      <c r="Z12" s="84"/>
      <c r="AA12" s="20">
        <f t="shared" si="5"/>
        <v>291.55</v>
      </c>
      <c r="AB12" s="20">
        <v>245</v>
      </c>
      <c r="AC12" s="20">
        <f>AB12*(1+HOLDS!$Z$69/100)</f>
        <v>245</v>
      </c>
      <c r="AD12" s="10"/>
      <c r="AE12" s="10"/>
      <c r="AF12" s="86">
        <v>9.3000000000000007</v>
      </c>
      <c r="AG12" s="85" t="str">
        <f t="shared" si="4"/>
        <v>Kendo Bad Edges 2</v>
      </c>
      <c r="AH12" s="85"/>
      <c r="AI12" s="85">
        <v>6</v>
      </c>
    </row>
    <row r="13" spans="2:35" ht="18.75" x14ac:dyDescent="0.3">
      <c r="B13" s="100" t="s">
        <v>124</v>
      </c>
      <c r="C13" s="7" t="s">
        <v>117</v>
      </c>
      <c r="D13" s="7" t="str">
        <f t="shared" si="2"/>
        <v>L</v>
      </c>
      <c r="E13" s="7" t="s">
        <v>17</v>
      </c>
      <c r="F13" s="7" t="str">
        <f t="shared" ref="F13:F14" si="6">IF(SUM(H13:W13)=0," (Screw-On)","")</f>
        <v/>
      </c>
      <c r="G13" s="7">
        <v>6</v>
      </c>
      <c r="H13" s="6"/>
      <c r="I13" s="10"/>
      <c r="J13" s="10">
        <v>6</v>
      </c>
      <c r="K13" s="10"/>
      <c r="L13" s="10"/>
      <c r="M13" s="10"/>
      <c r="N13" s="10"/>
      <c r="O13" s="84"/>
      <c r="P13" s="84"/>
      <c r="Q13" s="10"/>
      <c r="R13" s="84"/>
      <c r="S13" s="84"/>
      <c r="T13" s="84"/>
      <c r="U13" s="84"/>
      <c r="V13" s="84"/>
      <c r="W13" s="84"/>
      <c r="X13" s="10"/>
      <c r="Y13" s="84"/>
      <c r="Z13" s="84"/>
      <c r="AA13" s="20">
        <f t="shared" si="5"/>
        <v>177.31</v>
      </c>
      <c r="AB13" s="20">
        <v>149</v>
      </c>
      <c r="AC13" s="20">
        <f>AB13*(1+HOLDS!$Z$69/100)</f>
        <v>149</v>
      </c>
      <c r="AD13" s="10"/>
      <c r="AE13" s="10"/>
      <c r="AF13" s="86">
        <v>5.6</v>
      </c>
      <c r="AG13" s="85" t="str">
        <f t="shared" si="4"/>
        <v>Kendo Edges 1</v>
      </c>
      <c r="AH13" s="85"/>
      <c r="AI13" s="85">
        <v>7</v>
      </c>
    </row>
    <row r="14" spans="2:35" ht="18.75" x14ac:dyDescent="0.3">
      <c r="B14" s="100" t="s">
        <v>125</v>
      </c>
      <c r="C14" s="7" t="s">
        <v>148</v>
      </c>
      <c r="D14" s="7" t="str">
        <f t="shared" si="2"/>
        <v>M-L</v>
      </c>
      <c r="E14" s="7" t="s">
        <v>56</v>
      </c>
      <c r="F14" s="7" t="str">
        <f t="shared" si="6"/>
        <v/>
      </c>
      <c r="G14" s="7">
        <v>12</v>
      </c>
      <c r="H14" s="6"/>
      <c r="I14" s="10"/>
      <c r="J14" s="10"/>
      <c r="K14" s="10"/>
      <c r="L14" s="10">
        <v>12</v>
      </c>
      <c r="M14" s="10"/>
      <c r="N14" s="10"/>
      <c r="O14" s="84"/>
      <c r="P14" s="84"/>
      <c r="Q14" s="10"/>
      <c r="R14" s="84"/>
      <c r="S14" s="84"/>
      <c r="T14" s="84"/>
      <c r="U14" s="84"/>
      <c r="V14" s="84"/>
      <c r="W14" s="84"/>
      <c r="X14" s="10"/>
      <c r="Y14" s="84"/>
      <c r="Z14" s="84"/>
      <c r="AA14" s="20">
        <f t="shared" si="5"/>
        <v>315.34999999999997</v>
      </c>
      <c r="AB14" s="20">
        <v>265</v>
      </c>
      <c r="AC14" s="20">
        <f>AB14*(1+HOLDS!$Z$69/100)</f>
        <v>265</v>
      </c>
      <c r="AD14" s="10"/>
      <c r="AE14" s="10"/>
      <c r="AF14" s="86">
        <v>9.9</v>
      </c>
      <c r="AG14" s="85" t="str">
        <f t="shared" si="4"/>
        <v>Kendo Jugs 2</v>
      </c>
      <c r="AH14" s="85"/>
      <c r="AI14" s="85">
        <v>8</v>
      </c>
    </row>
    <row r="15" spans="2:35" ht="18.75" x14ac:dyDescent="0.3">
      <c r="B15" s="100" t="s">
        <v>150</v>
      </c>
      <c r="C15" s="7" t="s">
        <v>152</v>
      </c>
      <c r="D15" s="7" t="str">
        <f t="shared" si="2"/>
        <v>M</v>
      </c>
      <c r="E15" s="7" t="s">
        <v>2</v>
      </c>
      <c r="F15" s="7"/>
      <c r="G15" s="7">
        <v>6</v>
      </c>
      <c r="H15" s="6"/>
      <c r="I15" s="10"/>
      <c r="J15" s="10">
        <v>6</v>
      </c>
      <c r="K15" s="10"/>
      <c r="L15" s="10"/>
      <c r="M15" s="10"/>
      <c r="N15" s="10"/>
      <c r="O15" s="84"/>
      <c r="P15" s="84"/>
      <c r="Q15" s="10"/>
      <c r="R15" s="84"/>
      <c r="S15" s="84"/>
      <c r="T15" s="84"/>
      <c r="U15" s="84"/>
      <c r="V15" s="84"/>
      <c r="W15" s="84"/>
      <c r="X15" s="10"/>
      <c r="Y15" s="84"/>
      <c r="Z15" s="84"/>
      <c r="AA15" s="20">
        <f t="shared" si="5"/>
        <v>117.80999999999999</v>
      </c>
      <c r="AB15" s="20">
        <v>99</v>
      </c>
      <c r="AC15" s="20">
        <f>AB15*(1+HOLDS!$Z$69/100)</f>
        <v>99</v>
      </c>
      <c r="AD15" s="10"/>
      <c r="AE15" s="10"/>
      <c r="AF15" s="86">
        <v>2.9</v>
      </c>
      <c r="AG15" s="85" t="str">
        <f t="shared" si="4"/>
        <v>*New* Kendo Good Jugs 2</v>
      </c>
      <c r="AH15" s="85"/>
      <c r="AI15" s="85"/>
    </row>
    <row r="16" spans="2:35" ht="18.75" x14ac:dyDescent="0.3">
      <c r="B16" s="100" t="s">
        <v>151</v>
      </c>
      <c r="C16" s="7" t="s">
        <v>153</v>
      </c>
      <c r="D16" s="7" t="str">
        <f t="shared" si="2"/>
        <v>L</v>
      </c>
      <c r="E16" s="7" t="s">
        <v>17</v>
      </c>
      <c r="F16" s="7"/>
      <c r="G16" s="7">
        <v>6</v>
      </c>
      <c r="H16" s="6"/>
      <c r="I16" s="10"/>
      <c r="J16" s="10">
        <v>3</v>
      </c>
      <c r="K16" s="10"/>
      <c r="L16" s="10">
        <v>3</v>
      </c>
      <c r="M16" s="10"/>
      <c r="N16" s="10"/>
      <c r="O16" s="84"/>
      <c r="P16" s="84"/>
      <c r="Q16" s="10"/>
      <c r="R16" s="84"/>
      <c r="S16" s="84"/>
      <c r="T16" s="84"/>
      <c r="U16" s="84"/>
      <c r="V16" s="84"/>
      <c r="W16" s="84"/>
      <c r="X16" s="10"/>
      <c r="Y16" s="84"/>
      <c r="Z16" s="84"/>
      <c r="AA16" s="20">
        <f t="shared" si="5"/>
        <v>148.75</v>
      </c>
      <c r="AB16" s="20">
        <v>125</v>
      </c>
      <c r="AC16" s="20">
        <f>AB16*(1+HOLDS!$Z$69/100)</f>
        <v>125</v>
      </c>
      <c r="AD16" s="10"/>
      <c r="AE16" s="10"/>
      <c r="AF16" s="86">
        <v>4.5999999999999996</v>
      </c>
      <c r="AG16" s="85" t="str">
        <f t="shared" si="4"/>
        <v>*New* Kendo Good Jugs 3</v>
      </c>
      <c r="AH16" s="85"/>
      <c r="AI16" s="85"/>
    </row>
    <row r="17" spans="2:35" ht="18.75" x14ac:dyDescent="0.3">
      <c r="B17" s="100" t="s">
        <v>126</v>
      </c>
      <c r="C17" s="7" t="s">
        <v>134</v>
      </c>
      <c r="D17" s="7" t="str">
        <f t="shared" si="2"/>
        <v>M</v>
      </c>
      <c r="E17" s="7" t="s">
        <v>2</v>
      </c>
      <c r="F17" s="7" t="str">
        <f t="shared" ref="F17:F24" si="7">IF(SUM(H17:W17)=0," (Screw-On)","")</f>
        <v/>
      </c>
      <c r="G17" s="7">
        <v>6</v>
      </c>
      <c r="H17" s="6">
        <v>6</v>
      </c>
      <c r="I17" s="10"/>
      <c r="J17" s="10"/>
      <c r="K17" s="10"/>
      <c r="L17" s="10"/>
      <c r="M17" s="10"/>
      <c r="N17" s="10"/>
      <c r="O17" s="84"/>
      <c r="P17" s="84"/>
      <c r="Q17" s="10"/>
      <c r="R17" s="84"/>
      <c r="S17" s="84"/>
      <c r="T17" s="84"/>
      <c r="U17" s="84"/>
      <c r="V17" s="84"/>
      <c r="W17" s="84"/>
      <c r="X17" s="10"/>
      <c r="Y17" s="84"/>
      <c r="Z17" s="84"/>
      <c r="AA17" s="20">
        <f t="shared" ref="AA17:AA24" si="8">AC17*($AA$3/100+1)</f>
        <v>70.209999999999994</v>
      </c>
      <c r="AB17" s="20">
        <v>59</v>
      </c>
      <c r="AC17" s="20">
        <f>AB17*(1+HOLDS!$Z$69/100)</f>
        <v>59</v>
      </c>
      <c r="AD17" s="10"/>
      <c r="AE17" s="10"/>
      <c r="AF17" s="86">
        <v>1.9</v>
      </c>
      <c r="AG17" s="85" t="str">
        <f t="shared" ref="AG17:AG24" si="9">PROPER(C17)</f>
        <v>Kendo Edges 2</v>
      </c>
      <c r="AH17" s="85"/>
      <c r="AI17" s="85">
        <v>11</v>
      </c>
    </row>
    <row r="18" spans="2:35" ht="18.75" x14ac:dyDescent="0.3">
      <c r="B18" s="100" t="s">
        <v>127</v>
      </c>
      <c r="C18" s="7" t="s">
        <v>137</v>
      </c>
      <c r="D18" s="7" t="str">
        <f t="shared" si="2"/>
        <v>S (Screw-On)</v>
      </c>
      <c r="E18" s="7" t="s">
        <v>1</v>
      </c>
      <c r="F18" s="7" t="str">
        <f t="shared" si="7"/>
        <v xml:space="preserve"> (Screw-On)</v>
      </c>
      <c r="G18" s="7">
        <v>12</v>
      </c>
      <c r="H18" s="6"/>
      <c r="I18" s="10"/>
      <c r="J18" s="10"/>
      <c r="K18" s="10"/>
      <c r="L18" s="10"/>
      <c r="M18" s="10"/>
      <c r="N18" s="10"/>
      <c r="O18" s="84"/>
      <c r="P18" s="84"/>
      <c r="Q18" s="10"/>
      <c r="R18" s="84"/>
      <c r="S18" s="84"/>
      <c r="T18" s="84"/>
      <c r="U18" s="84"/>
      <c r="V18" s="84"/>
      <c r="W18" s="84"/>
      <c r="X18" s="10">
        <v>24</v>
      </c>
      <c r="Y18" s="84"/>
      <c r="Z18" s="84"/>
      <c r="AA18" s="20">
        <f t="shared" si="8"/>
        <v>88.06</v>
      </c>
      <c r="AB18" s="20">
        <v>74</v>
      </c>
      <c r="AC18" s="20">
        <f>AB18*(1+HOLDS!$Z$69/100)</f>
        <v>74</v>
      </c>
      <c r="AD18" s="10"/>
      <c r="AE18" s="10"/>
      <c r="AF18" s="86">
        <v>1.3</v>
      </c>
      <c r="AG18" s="85" t="str">
        <f t="shared" si="9"/>
        <v>Kendo Crimps 1</v>
      </c>
      <c r="AH18" s="85"/>
      <c r="AI18" s="85">
        <v>12</v>
      </c>
    </row>
    <row r="19" spans="2:35" ht="18.75" x14ac:dyDescent="0.3">
      <c r="B19" s="100" t="s">
        <v>128</v>
      </c>
      <c r="C19" s="7" t="s">
        <v>138</v>
      </c>
      <c r="D19" s="7" t="str">
        <f t="shared" ref="D19:D24" si="10">CONCATENATE(E19,F19)</f>
        <v>S</v>
      </c>
      <c r="E19" s="7" t="s">
        <v>1</v>
      </c>
      <c r="F19" s="7" t="str">
        <f t="shared" si="7"/>
        <v/>
      </c>
      <c r="G19" s="7">
        <v>8</v>
      </c>
      <c r="H19" s="6">
        <v>8</v>
      </c>
      <c r="I19" s="10"/>
      <c r="J19" s="10"/>
      <c r="K19" s="10"/>
      <c r="L19" s="10"/>
      <c r="M19" s="10"/>
      <c r="N19" s="10"/>
      <c r="O19" s="84"/>
      <c r="P19" s="84"/>
      <c r="Q19" s="10"/>
      <c r="R19" s="84"/>
      <c r="S19" s="84"/>
      <c r="T19" s="84"/>
      <c r="U19" s="84"/>
      <c r="V19" s="84"/>
      <c r="W19" s="84"/>
      <c r="X19" s="10"/>
      <c r="Y19" s="84"/>
      <c r="Z19" s="84"/>
      <c r="AA19" s="20">
        <f t="shared" si="8"/>
        <v>58.309999999999995</v>
      </c>
      <c r="AB19" s="20">
        <v>49</v>
      </c>
      <c r="AC19" s="20">
        <f>AB19*(1+HOLDS!$Z$69/100)</f>
        <v>49</v>
      </c>
      <c r="AD19" s="10"/>
      <c r="AE19" s="10"/>
      <c r="AF19" s="86">
        <v>0.9</v>
      </c>
      <c r="AG19" s="85" t="str">
        <f t="shared" si="9"/>
        <v>Kendo Plates 1</v>
      </c>
      <c r="AH19" s="85"/>
      <c r="AI19" s="85">
        <v>13</v>
      </c>
    </row>
    <row r="20" spans="2:35" ht="18.75" x14ac:dyDescent="0.3">
      <c r="B20" s="100" t="s">
        <v>129</v>
      </c>
      <c r="C20" s="7" t="s">
        <v>144</v>
      </c>
      <c r="D20" s="7" t="str">
        <f t="shared" si="10"/>
        <v>S (Screw-On)</v>
      </c>
      <c r="E20" s="7" t="s">
        <v>1</v>
      </c>
      <c r="F20" s="7" t="str">
        <f t="shared" si="7"/>
        <v xml:space="preserve"> (Screw-On)</v>
      </c>
      <c r="G20" s="7">
        <v>6</v>
      </c>
      <c r="H20" s="6"/>
      <c r="I20" s="10"/>
      <c r="J20" s="10"/>
      <c r="K20" s="10"/>
      <c r="L20" s="10"/>
      <c r="M20" s="10"/>
      <c r="N20" s="10"/>
      <c r="O20" s="84"/>
      <c r="P20" s="84"/>
      <c r="Q20" s="10"/>
      <c r="R20" s="84"/>
      <c r="S20" s="84"/>
      <c r="T20" s="84"/>
      <c r="U20" s="84"/>
      <c r="V20" s="84"/>
      <c r="W20" s="84"/>
      <c r="X20" s="10">
        <v>12</v>
      </c>
      <c r="Y20" s="84"/>
      <c r="Z20" s="84"/>
      <c r="AA20" s="20">
        <f t="shared" si="8"/>
        <v>46.41</v>
      </c>
      <c r="AB20" s="20">
        <v>39</v>
      </c>
      <c r="AC20" s="20">
        <f>AB20*(1+HOLDS!$Z$69/100)</f>
        <v>39</v>
      </c>
      <c r="AD20" s="10"/>
      <c r="AE20" s="10"/>
      <c r="AF20" s="86">
        <v>0.7</v>
      </c>
      <c r="AG20" s="85" t="str">
        <f t="shared" si="9"/>
        <v xml:space="preserve">Kendo Edges </v>
      </c>
      <c r="AH20" s="85"/>
      <c r="AI20" s="85">
        <v>14</v>
      </c>
    </row>
    <row r="21" spans="2:35" ht="18.75" x14ac:dyDescent="0.3">
      <c r="B21" s="100" t="s">
        <v>130</v>
      </c>
      <c r="C21" s="7" t="s">
        <v>139</v>
      </c>
      <c r="D21" s="7" t="str">
        <f t="shared" si="10"/>
        <v>S</v>
      </c>
      <c r="E21" s="7" t="s">
        <v>1</v>
      </c>
      <c r="F21" s="7" t="str">
        <f t="shared" si="7"/>
        <v/>
      </c>
      <c r="G21" s="7">
        <v>10</v>
      </c>
      <c r="H21" s="6">
        <v>10</v>
      </c>
      <c r="I21" s="10"/>
      <c r="J21" s="10"/>
      <c r="K21" s="10"/>
      <c r="L21" s="10"/>
      <c r="M21" s="10"/>
      <c r="N21" s="10"/>
      <c r="O21" s="84"/>
      <c r="P21" s="84"/>
      <c r="Q21" s="10"/>
      <c r="R21" s="84"/>
      <c r="S21" s="84"/>
      <c r="T21" s="84"/>
      <c r="U21" s="84"/>
      <c r="V21" s="84"/>
      <c r="W21" s="84"/>
      <c r="X21" s="10"/>
      <c r="Y21" s="84"/>
      <c r="Z21" s="84"/>
      <c r="AA21" s="20">
        <f t="shared" si="8"/>
        <v>49.98</v>
      </c>
      <c r="AB21" s="20">
        <v>42</v>
      </c>
      <c r="AC21" s="20">
        <f>AB21*(1+HOLDS!$Z$69/100)</f>
        <v>42</v>
      </c>
      <c r="AD21" s="10"/>
      <c r="AE21" s="10"/>
      <c r="AF21" s="86">
        <v>0.8</v>
      </c>
      <c r="AG21" s="85" t="str">
        <f t="shared" si="9"/>
        <v>Kendo Footholds 1</v>
      </c>
      <c r="AH21" s="85"/>
      <c r="AI21" s="85">
        <v>15</v>
      </c>
    </row>
    <row r="22" spans="2:35" ht="18.75" x14ac:dyDescent="0.3">
      <c r="B22" s="100" t="s">
        <v>131</v>
      </c>
      <c r="C22" s="7" t="s">
        <v>140</v>
      </c>
      <c r="D22" s="7" t="str">
        <f t="shared" si="10"/>
        <v>XS (Screw-On)</v>
      </c>
      <c r="E22" s="7" t="s">
        <v>51</v>
      </c>
      <c r="F22" s="7" t="str">
        <f t="shared" si="7"/>
        <v xml:space="preserve"> (Screw-On)</v>
      </c>
      <c r="G22" s="7">
        <v>20</v>
      </c>
      <c r="H22" s="6"/>
      <c r="I22" s="10"/>
      <c r="J22" s="10"/>
      <c r="K22" s="10"/>
      <c r="L22" s="10"/>
      <c r="M22" s="10"/>
      <c r="N22" s="10"/>
      <c r="O22" s="84"/>
      <c r="P22" s="84"/>
      <c r="Q22" s="10"/>
      <c r="R22" s="84"/>
      <c r="S22" s="84"/>
      <c r="T22" s="84"/>
      <c r="U22" s="84"/>
      <c r="V22" s="84"/>
      <c r="W22" s="84"/>
      <c r="X22" s="10">
        <v>40</v>
      </c>
      <c r="Y22" s="84"/>
      <c r="Z22" s="84"/>
      <c r="AA22" s="20">
        <f t="shared" si="8"/>
        <v>91.63</v>
      </c>
      <c r="AB22" s="20">
        <v>77</v>
      </c>
      <c r="AC22" s="20">
        <f>AB22*(1+HOLDS!$Z$69/100)</f>
        <v>77</v>
      </c>
      <c r="AD22" s="10"/>
      <c r="AE22" s="10"/>
      <c r="AF22" s="86">
        <v>0.5</v>
      </c>
      <c r="AG22" s="85" t="str">
        <f t="shared" si="9"/>
        <v>Kendo Footholds 2</v>
      </c>
      <c r="AH22" s="85"/>
      <c r="AI22" s="85">
        <v>16</v>
      </c>
    </row>
    <row r="23" spans="2:35" ht="18.75" x14ac:dyDescent="0.3">
      <c r="B23" s="100" t="s">
        <v>132</v>
      </c>
      <c r="C23" s="7" t="s">
        <v>136</v>
      </c>
      <c r="D23" s="7" t="str">
        <f t="shared" si="10"/>
        <v>XS (Screw-On)</v>
      </c>
      <c r="E23" s="7" t="s">
        <v>51</v>
      </c>
      <c r="F23" s="7" t="str">
        <f t="shared" si="7"/>
        <v xml:space="preserve"> (Screw-On)</v>
      </c>
      <c r="G23" s="7">
        <v>8</v>
      </c>
      <c r="H23" s="6"/>
      <c r="I23" s="10"/>
      <c r="J23" s="10"/>
      <c r="K23" s="10"/>
      <c r="L23" s="10"/>
      <c r="M23" s="10"/>
      <c r="N23" s="10"/>
      <c r="O23" s="84"/>
      <c r="P23" s="84"/>
      <c r="Q23" s="10"/>
      <c r="R23" s="84"/>
      <c r="S23" s="84"/>
      <c r="T23" s="84"/>
      <c r="U23" s="84"/>
      <c r="V23" s="84"/>
      <c r="W23" s="84"/>
      <c r="X23" s="10">
        <v>16</v>
      </c>
      <c r="Y23" s="84"/>
      <c r="Z23" s="84"/>
      <c r="AA23" s="20">
        <f t="shared" si="8"/>
        <v>46.41</v>
      </c>
      <c r="AB23" s="20">
        <v>39</v>
      </c>
      <c r="AC23" s="20">
        <f>AB23*(1+HOLDS!$Z$69/100)</f>
        <v>39</v>
      </c>
      <c r="AD23" s="10"/>
      <c r="AE23" s="10"/>
      <c r="AF23" s="86">
        <v>0.25</v>
      </c>
      <c r="AG23" s="85" t="str">
        <f t="shared" si="9"/>
        <v>Kendo Edges 3</v>
      </c>
      <c r="AH23" s="85"/>
      <c r="AI23" s="85">
        <v>17</v>
      </c>
    </row>
    <row r="24" spans="2:35" ht="18.75" x14ac:dyDescent="0.3">
      <c r="B24" s="100" t="s">
        <v>133</v>
      </c>
      <c r="C24" s="7" t="s">
        <v>154</v>
      </c>
      <c r="D24" s="7" t="str">
        <f t="shared" si="10"/>
        <v>XS (Screw-On)</v>
      </c>
      <c r="E24" s="7" t="s">
        <v>51</v>
      </c>
      <c r="F24" s="7" t="str">
        <f t="shared" si="7"/>
        <v xml:space="preserve"> (Screw-On)</v>
      </c>
      <c r="G24" s="7">
        <v>8</v>
      </c>
      <c r="H24" s="6"/>
      <c r="I24" s="10"/>
      <c r="J24" s="10"/>
      <c r="K24" s="10"/>
      <c r="L24" s="10"/>
      <c r="M24" s="10"/>
      <c r="N24" s="10"/>
      <c r="O24" s="84"/>
      <c r="P24" s="84"/>
      <c r="Q24" s="10"/>
      <c r="R24" s="84"/>
      <c r="S24" s="84"/>
      <c r="T24" s="84"/>
      <c r="U24" s="84"/>
      <c r="V24" s="84"/>
      <c r="W24" s="84"/>
      <c r="X24" s="10">
        <v>16</v>
      </c>
      <c r="Y24" s="84"/>
      <c r="Z24" s="84"/>
      <c r="AA24" s="20">
        <f t="shared" si="8"/>
        <v>41.65</v>
      </c>
      <c r="AB24" s="20">
        <v>35</v>
      </c>
      <c r="AC24" s="20">
        <f>AB24*(1+HOLDS!$Z$69/100)</f>
        <v>35</v>
      </c>
      <c r="AD24" s="10"/>
      <c r="AE24" s="10"/>
      <c r="AF24" s="86">
        <v>0.3</v>
      </c>
      <c r="AG24" s="85" t="str">
        <f t="shared" si="9"/>
        <v>*New* Kendo Crimps 2</v>
      </c>
      <c r="AH24" s="85"/>
      <c r="AI24" s="85">
        <v>18</v>
      </c>
    </row>
    <row r="25" spans="2:35" x14ac:dyDescent="0.25"/>
    <row r="26" spans="2:35" ht="18.75" x14ac:dyDescent="0.3">
      <c r="B26" s="119" t="s">
        <v>53</v>
      </c>
      <c r="C26" s="9" t="s">
        <v>31</v>
      </c>
      <c r="D26" s="9"/>
      <c r="E26" s="9"/>
      <c r="F26" s="9"/>
      <c r="G26" s="9"/>
      <c r="H26" s="6"/>
      <c r="I26" s="10"/>
      <c r="J26" s="10"/>
      <c r="K26" s="10"/>
      <c r="L26" s="10"/>
      <c r="M26" s="10"/>
      <c r="N26" s="10"/>
      <c r="O26" s="4"/>
      <c r="P26" s="4"/>
      <c r="Q26" s="10"/>
      <c r="R26" s="11"/>
      <c r="S26" s="11"/>
      <c r="T26" s="11"/>
      <c r="U26" s="11"/>
      <c r="V26" s="11"/>
      <c r="W26" s="11"/>
      <c r="X26" s="10"/>
      <c r="Y26" s="4"/>
      <c r="Z26" s="4"/>
      <c r="AA26" s="20"/>
      <c r="AB26" s="20"/>
      <c r="AC26" s="20">
        <f>AB26*(1+HOLDS!$Z$69/100)</f>
        <v>0</v>
      </c>
      <c r="AD26" s="4"/>
      <c r="AE26" s="4"/>
      <c r="AF26" s="20"/>
      <c r="AG26" s="85" t="str">
        <f t="shared" ref="AG26" si="11">PROPER(C26)</f>
        <v/>
      </c>
      <c r="AH26" s="85"/>
      <c r="AI26" s="85">
        <v>204</v>
      </c>
    </row>
    <row r="27" spans="2:35" x14ac:dyDescent="0.25"/>
    <row r="28" spans="2:35" x14ac:dyDescent="0.25"/>
    <row r="29" spans="2:35" x14ac:dyDescent="0.25"/>
    <row r="30" spans="2:35" x14ac:dyDescent="0.25"/>
    <row r="31" spans="2:35" x14ac:dyDescent="0.25"/>
    <row r="32" spans="2:35" x14ac:dyDescent="0.25"/>
    <row r="33" spans="18:18" x14ac:dyDescent="0.25"/>
    <row r="34" spans="18:18" x14ac:dyDescent="0.25">
      <c r="R34" s="93"/>
    </row>
    <row r="35" spans="18:18" x14ac:dyDescent="0.25"/>
    <row r="36" spans="18:18" x14ac:dyDescent="0.25"/>
    <row r="37" spans="18:18" x14ac:dyDescent="0.25"/>
    <row r="38" spans="18:18" x14ac:dyDescent="0.25"/>
    <row r="39" spans="18:18" x14ac:dyDescent="0.25"/>
    <row r="40" spans="18:18" x14ac:dyDescent="0.25"/>
    <row r="41" spans="18:18" x14ac:dyDescent="0.25"/>
    <row r="42" spans="18:18" x14ac:dyDescent="0.25"/>
    <row r="43" spans="18:18" x14ac:dyDescent="0.25"/>
    <row r="44" spans="18:18" x14ac:dyDescent="0.25"/>
    <row r="45" spans="18:18" x14ac:dyDescent="0.25"/>
    <row r="46" spans="18:18" x14ac:dyDescent="0.25"/>
    <row r="47" spans="18:18" x14ac:dyDescent="0.25"/>
    <row r="48" spans="18:1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</sheetData>
  <sheetProtection selectLockedCells="1"/>
  <phoneticPr fontId="12" type="noConversion"/>
  <pageMargins left="0.75196850393700787" right="0.75196850393700787" top="1" bottom="1" header="0.5" footer="0.5"/>
  <pageSetup paperSize="9" scale="25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B1:AV26"/>
  <sheetViews>
    <sheetView workbookViewId="0">
      <pane ySplit="2" topLeftCell="A3" activePane="bottomLeft" state="frozen"/>
      <selection activeCell="L12" sqref="L12"/>
      <selection pane="bottomLeft" activeCell="AV18" sqref="AV18"/>
    </sheetView>
  </sheetViews>
  <sheetFormatPr baseColWidth="10" defaultRowHeight="15.75" x14ac:dyDescent="0.25"/>
  <cols>
    <col min="2" max="2" width="18.625" customWidth="1"/>
    <col min="4" max="4" width="23" customWidth="1"/>
    <col min="5" max="5" width="10.375" customWidth="1"/>
    <col min="6" max="21" width="7.875" customWidth="1"/>
    <col min="22" max="22" width="8" customWidth="1"/>
    <col min="23" max="24" width="6.125" customWidth="1"/>
    <col min="42" max="43" width="6.125" customWidth="1"/>
    <col min="46" max="47" width="5.375" customWidth="1"/>
  </cols>
  <sheetData>
    <row r="1" spans="2:48" x14ac:dyDescent="0.25">
      <c r="AR1" t="s">
        <v>11</v>
      </c>
    </row>
    <row r="2" spans="2:48" ht="60.75" x14ac:dyDescent="0.3">
      <c r="B2" t="s">
        <v>32</v>
      </c>
      <c r="C2" t="s">
        <v>0</v>
      </c>
      <c r="E2" t="s">
        <v>15</v>
      </c>
      <c r="F2" s="2">
        <f>'Datenbank Holds'!H3</f>
        <v>40</v>
      </c>
      <c r="G2" s="2">
        <f>'Datenbank Holds'!I3</f>
        <v>50</v>
      </c>
      <c r="H2" s="2">
        <f>'Datenbank Holds'!J3</f>
        <v>60</v>
      </c>
      <c r="I2" s="2">
        <f>'Datenbank Holds'!K3</f>
        <v>70</v>
      </c>
      <c r="J2" s="2">
        <f>'Datenbank Holds'!L3</f>
        <v>80</v>
      </c>
      <c r="K2" s="2">
        <f>'Datenbank Holds'!M3</f>
        <v>90</v>
      </c>
      <c r="L2" s="2">
        <f>'Datenbank Holds'!N3</f>
        <v>100</v>
      </c>
      <c r="M2" s="2">
        <f>'Datenbank Holds'!O3</f>
        <v>110</v>
      </c>
      <c r="N2" s="2">
        <f>'Datenbank Holds'!P3</f>
        <v>120</v>
      </c>
      <c r="O2" s="2">
        <f>'Datenbank Holds'!Q3</f>
        <v>130</v>
      </c>
      <c r="P2" s="2">
        <f>'Datenbank Holds'!R3</f>
        <v>140</v>
      </c>
      <c r="Q2" s="2">
        <f>'Datenbank Holds'!S3</f>
        <v>150</v>
      </c>
      <c r="R2" s="2">
        <f>'Datenbank Holds'!T3</f>
        <v>160</v>
      </c>
      <c r="S2" s="2">
        <f>'Datenbank Holds'!U3</f>
        <v>170</v>
      </c>
      <c r="T2" s="2">
        <f>'Datenbank Holds'!V3</f>
        <v>180</v>
      </c>
      <c r="U2" s="2">
        <f>'Datenbank Holds'!W3</f>
        <v>190</v>
      </c>
      <c r="V2" s="8" t="s">
        <v>10</v>
      </c>
      <c r="Y2" s="53" t="s">
        <v>33</v>
      </c>
      <c r="Z2" s="54" t="s">
        <v>34</v>
      </c>
      <c r="AA2" s="64" t="s">
        <v>35</v>
      </c>
      <c r="AB2" s="65" t="s">
        <v>36</v>
      </c>
      <c r="AC2" s="63" t="s">
        <v>37</v>
      </c>
      <c r="AD2" s="55" t="s">
        <v>38</v>
      </c>
      <c r="AE2" s="56" t="s">
        <v>39</v>
      </c>
      <c r="AF2" s="57" t="s">
        <v>40</v>
      </c>
      <c r="AG2" s="66" t="s">
        <v>41</v>
      </c>
      <c r="AH2" s="92" t="s">
        <v>58</v>
      </c>
      <c r="AI2" s="58" t="s">
        <v>42</v>
      </c>
      <c r="AJ2" s="59" t="s">
        <v>43</v>
      </c>
      <c r="AK2" s="60" t="s">
        <v>44</v>
      </c>
      <c r="AL2" s="61" t="s">
        <v>45</v>
      </c>
      <c r="AM2" s="70" t="s">
        <v>46</v>
      </c>
      <c r="AN2" s="62" t="s">
        <v>47</v>
      </c>
      <c r="AO2" s="63" t="s">
        <v>48</v>
      </c>
      <c r="AR2" t="s">
        <v>12</v>
      </c>
      <c r="AS2" t="s">
        <v>8</v>
      </c>
      <c r="AV2" t="s">
        <v>9</v>
      </c>
    </row>
    <row r="3" spans="2:48" ht="19.5" thickBot="1" x14ac:dyDescent="0.35">
      <c r="C3" s="19"/>
      <c r="D3" s="43" t="s">
        <v>57</v>
      </c>
      <c r="E3" s="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48" ht="19.5" thickBot="1" x14ac:dyDescent="0.35">
      <c r="B4" t="str">
        <f>PROPER(VLOOKUP(C4,'Datenbank Holds'!B:AI,26,FALSE))</f>
        <v>2872,6005</v>
      </c>
      <c r="C4" s="100" t="s">
        <v>118</v>
      </c>
      <c r="D4" s="43" t="str">
        <f>PROPER(VLOOKUP(C4,'Datenbank Holds'!B:C,2,FALSE))</f>
        <v>Kendo Set</v>
      </c>
      <c r="E4" s="1">
        <f>SUM(HOLDS!G11:W11)</f>
        <v>0</v>
      </c>
      <c r="F4" s="5">
        <f>$E4*'Datenbank Holds'!H5</f>
        <v>0</v>
      </c>
      <c r="G4" s="5">
        <f>$E4*'Datenbank Holds'!I5</f>
        <v>0</v>
      </c>
      <c r="H4" s="5">
        <f>$E4*'Datenbank Holds'!J5</f>
        <v>0</v>
      </c>
      <c r="I4" s="5">
        <f>$E4*'Datenbank Holds'!K5</f>
        <v>0</v>
      </c>
      <c r="J4" s="5">
        <f>$E4*'Datenbank Holds'!L5</f>
        <v>0</v>
      </c>
      <c r="K4" s="5">
        <f>$E4*'Datenbank Holds'!M5</f>
        <v>0</v>
      </c>
      <c r="L4" s="5">
        <f>$E4*'Datenbank Holds'!N5</f>
        <v>0</v>
      </c>
      <c r="M4" s="5">
        <f>$E4*'Datenbank Holds'!O5</f>
        <v>0</v>
      </c>
      <c r="N4" s="5">
        <f>$E4*'Datenbank Holds'!P5</f>
        <v>0</v>
      </c>
      <c r="O4" s="5">
        <f>$E4*'Datenbank Holds'!Q5</f>
        <v>0</v>
      </c>
      <c r="P4" s="5">
        <f>$E4*'Datenbank Holds'!R5</f>
        <v>0</v>
      </c>
      <c r="Q4" s="5">
        <f>$E4*'Datenbank Holds'!S5</f>
        <v>0</v>
      </c>
      <c r="R4" s="5">
        <f>$E4*'Datenbank Holds'!T5</f>
        <v>0</v>
      </c>
      <c r="S4" s="5">
        <f>$E4*'Datenbank Holds'!U5</f>
        <v>0</v>
      </c>
      <c r="T4" s="5">
        <f>$E4*'Datenbank Holds'!V5</f>
        <v>0</v>
      </c>
      <c r="U4" s="5">
        <f>$E4*'Datenbank Holds'!W5</f>
        <v>0</v>
      </c>
      <c r="V4" s="5">
        <f>$E4*'Datenbank Holds'!X5</f>
        <v>0</v>
      </c>
      <c r="Y4">
        <f>HOLDS!G11*HOLDS!$E11</f>
        <v>0</v>
      </c>
      <c r="Z4">
        <f>HOLDS!H11*HOLDS!$E11</f>
        <v>0</v>
      </c>
      <c r="AA4">
        <f>HOLDS!I11*HOLDS!$E11</f>
        <v>0</v>
      </c>
      <c r="AB4">
        <f>HOLDS!J11*HOLDS!$E11</f>
        <v>0</v>
      </c>
      <c r="AC4">
        <f>HOLDS!K11*HOLDS!$E11</f>
        <v>0</v>
      </c>
      <c r="AD4">
        <f>HOLDS!L11*HOLDS!$E11</f>
        <v>0</v>
      </c>
      <c r="AE4">
        <f>HOLDS!M11*HOLDS!$E11</f>
        <v>0</v>
      </c>
      <c r="AF4">
        <f>HOLDS!N11*HOLDS!$E11</f>
        <v>0</v>
      </c>
      <c r="AG4">
        <f>HOLDS!O11*HOLDS!$E11</f>
        <v>0</v>
      </c>
      <c r="AH4">
        <f>HOLDS!P11*HOLDS!$E11</f>
        <v>0</v>
      </c>
      <c r="AI4">
        <f>HOLDS!Q11*HOLDS!$E11</f>
        <v>0</v>
      </c>
      <c r="AJ4">
        <f>HOLDS!R11*HOLDS!$E11</f>
        <v>0</v>
      </c>
      <c r="AK4">
        <f>HOLDS!S11*HOLDS!$E11</f>
        <v>0</v>
      </c>
      <c r="AL4">
        <f>HOLDS!T11*HOLDS!$E11</f>
        <v>0</v>
      </c>
      <c r="AM4">
        <f>HOLDS!U11*HOLDS!$E11</f>
        <v>0</v>
      </c>
      <c r="AN4">
        <f>HOLDS!V11*HOLDS!$E11</f>
        <v>0</v>
      </c>
      <c r="AO4">
        <f>HOLDS!W11*HOLDS!$E11</f>
        <v>0</v>
      </c>
      <c r="AR4">
        <f>SUM(HOLDS!G11:W11)*'Datenbank Holds'!AA5</f>
        <v>0</v>
      </c>
      <c r="AS4">
        <f>SUM(HOLDS!G11:W11)*'Datenbank Holds'!AC5</f>
        <v>0</v>
      </c>
      <c r="AV4">
        <f>SUM(HOLDS!G11:W11)*'Datenbank Holds'!AF5</f>
        <v>0</v>
      </c>
    </row>
    <row r="5" spans="2:48" ht="19.5" thickBot="1" x14ac:dyDescent="0.35">
      <c r="B5" t="str">
        <f>PROPER(VLOOKUP(C5,'Datenbank Holds'!B:AI,26,FALSE))</f>
        <v>272,51</v>
      </c>
      <c r="C5" s="100" t="s">
        <v>119</v>
      </c>
      <c r="D5" s="43" t="str">
        <f>PROPER(VLOOKUP(C5,'Datenbank Holds'!B:C,2,FALSE))</f>
        <v>Kendo Jugs 1</v>
      </c>
      <c r="E5" s="1">
        <f>SUM(HOLDS!G12:W12)</f>
        <v>0</v>
      </c>
      <c r="F5" s="5">
        <f>$E5*'Datenbank Holds'!H6</f>
        <v>0</v>
      </c>
      <c r="G5" s="5">
        <f>$E5*'Datenbank Holds'!I6</f>
        <v>0</v>
      </c>
      <c r="H5" s="5">
        <f>$E5*'Datenbank Holds'!J6</f>
        <v>0</v>
      </c>
      <c r="I5" s="5">
        <f>$E5*'Datenbank Holds'!K6</f>
        <v>0</v>
      </c>
      <c r="J5" s="5">
        <f>$E5*'Datenbank Holds'!L6</f>
        <v>0</v>
      </c>
      <c r="K5" s="5">
        <f>$E5*'Datenbank Holds'!M6</f>
        <v>0</v>
      </c>
      <c r="L5" s="5">
        <f>$E5*'Datenbank Holds'!N6</f>
        <v>0</v>
      </c>
      <c r="M5" s="5">
        <f>$E5*'Datenbank Holds'!O6</f>
        <v>0</v>
      </c>
      <c r="N5" s="5">
        <f>$E5*'Datenbank Holds'!P6</f>
        <v>0</v>
      </c>
      <c r="O5" s="5">
        <f>$E5*'Datenbank Holds'!Q6</f>
        <v>0</v>
      </c>
      <c r="P5" s="5">
        <f>$E5*'Datenbank Holds'!R6</f>
        <v>0</v>
      </c>
      <c r="Q5" s="5">
        <f>$E5*'Datenbank Holds'!S6</f>
        <v>0</v>
      </c>
      <c r="R5" s="5">
        <f>$E5*'Datenbank Holds'!T6</f>
        <v>0</v>
      </c>
      <c r="S5" s="5">
        <f>$E5*'Datenbank Holds'!U6</f>
        <v>0</v>
      </c>
      <c r="T5" s="5">
        <f>$E5*'Datenbank Holds'!V6</f>
        <v>0</v>
      </c>
      <c r="U5" s="5">
        <f>$E5*'Datenbank Holds'!W6</f>
        <v>0</v>
      </c>
      <c r="V5" s="5">
        <f>$E5*'Datenbank Holds'!X6</f>
        <v>0</v>
      </c>
      <c r="Y5">
        <f>HOLDS!G12*HOLDS!$E12</f>
        <v>0</v>
      </c>
      <c r="Z5">
        <f>HOLDS!H12*HOLDS!$E12</f>
        <v>0</v>
      </c>
      <c r="AA5">
        <f>HOLDS!I12*HOLDS!$E12</f>
        <v>0</v>
      </c>
      <c r="AB5">
        <f>HOLDS!J12*HOLDS!$E12</f>
        <v>0</v>
      </c>
      <c r="AC5">
        <f>HOLDS!K12*HOLDS!$E12</f>
        <v>0</v>
      </c>
      <c r="AD5">
        <f>HOLDS!L12*HOLDS!$E12</f>
        <v>0</v>
      </c>
      <c r="AE5">
        <f>HOLDS!M12*HOLDS!$E12</f>
        <v>0</v>
      </c>
      <c r="AF5">
        <f>HOLDS!N12*HOLDS!$E12</f>
        <v>0</v>
      </c>
      <c r="AG5">
        <f>HOLDS!O12*HOLDS!$E12</f>
        <v>0</v>
      </c>
      <c r="AH5">
        <f>HOLDS!P12*HOLDS!$E12</f>
        <v>0</v>
      </c>
      <c r="AI5">
        <f>HOLDS!Q12*HOLDS!$E12</f>
        <v>0</v>
      </c>
      <c r="AJ5">
        <f>HOLDS!R12*HOLDS!$E12</f>
        <v>0</v>
      </c>
      <c r="AK5">
        <f>HOLDS!S12*HOLDS!$E12</f>
        <v>0</v>
      </c>
      <c r="AL5">
        <f>HOLDS!T12*HOLDS!$E12</f>
        <v>0</v>
      </c>
      <c r="AM5">
        <f>HOLDS!U12*HOLDS!$E12</f>
        <v>0</v>
      </c>
      <c r="AN5">
        <f>HOLDS!V12*HOLDS!$E12</f>
        <v>0</v>
      </c>
      <c r="AO5">
        <f>HOLDS!W12*HOLDS!$E12</f>
        <v>0</v>
      </c>
      <c r="AR5">
        <f>SUM(HOLDS!G12:W12)*'Datenbank Holds'!AA6</f>
        <v>0</v>
      </c>
      <c r="AS5">
        <f>SUM(HOLDS!G12:W12)*'Datenbank Holds'!AC6</f>
        <v>0</v>
      </c>
      <c r="AV5">
        <f>SUM(HOLDS!G12:W12)*'Datenbank Holds'!AF6</f>
        <v>0</v>
      </c>
    </row>
    <row r="6" spans="2:48" ht="19.5" thickBot="1" x14ac:dyDescent="0.35">
      <c r="B6" t="str">
        <f>PROPER(VLOOKUP(C6,'Datenbank Holds'!B:AI,26,FALSE))</f>
        <v>236,81</v>
      </c>
      <c r="C6" s="100" t="s">
        <v>156</v>
      </c>
      <c r="D6" s="43" t="str">
        <f>PROPER(VLOOKUP(C6,'Datenbank Holds'!B:C,2,FALSE))</f>
        <v>*New* Kendo Good Jugs 1</v>
      </c>
      <c r="E6" s="1">
        <f>SUM(HOLDS!G13:W13)</f>
        <v>0</v>
      </c>
      <c r="F6" s="5">
        <f>$E6*'Datenbank Holds'!H7</f>
        <v>0</v>
      </c>
      <c r="G6" s="5">
        <f>$E6*'Datenbank Holds'!I7</f>
        <v>0</v>
      </c>
      <c r="H6" s="5">
        <f>$E6*'Datenbank Holds'!J7</f>
        <v>0</v>
      </c>
      <c r="I6" s="5">
        <f>$E6*'Datenbank Holds'!K7</f>
        <v>0</v>
      </c>
      <c r="J6" s="5">
        <f>$E6*'Datenbank Holds'!L7</f>
        <v>0</v>
      </c>
      <c r="K6" s="5">
        <f>$E6*'Datenbank Holds'!M7</f>
        <v>0</v>
      </c>
      <c r="L6" s="5">
        <f>$E6*'Datenbank Holds'!N7</f>
        <v>0</v>
      </c>
      <c r="M6" s="5">
        <f>$E6*'Datenbank Holds'!O7</f>
        <v>0</v>
      </c>
      <c r="N6" s="5">
        <f>$E6*'Datenbank Holds'!P7</f>
        <v>0</v>
      </c>
      <c r="O6" s="5">
        <f>$E6*'Datenbank Holds'!Q7</f>
        <v>0</v>
      </c>
      <c r="P6" s="5">
        <f>$E6*'Datenbank Holds'!R7</f>
        <v>0</v>
      </c>
      <c r="Q6" s="5">
        <f>$E6*'Datenbank Holds'!S7</f>
        <v>0</v>
      </c>
      <c r="R6" s="5">
        <f>$E6*'Datenbank Holds'!T7</f>
        <v>0</v>
      </c>
      <c r="S6" s="5">
        <f>$E6*'Datenbank Holds'!U7</f>
        <v>0</v>
      </c>
      <c r="T6" s="5">
        <f>$E6*'Datenbank Holds'!V7</f>
        <v>0</v>
      </c>
      <c r="U6" s="5">
        <f>$E6*'Datenbank Holds'!W7</f>
        <v>0</v>
      </c>
      <c r="V6" s="5">
        <f>$E6*'Datenbank Holds'!X7</f>
        <v>0</v>
      </c>
      <c r="Y6">
        <f>HOLDS!G13*HOLDS!$E13</f>
        <v>0</v>
      </c>
      <c r="Z6">
        <f>HOLDS!H13*HOLDS!$E13</f>
        <v>0</v>
      </c>
      <c r="AA6">
        <f>HOLDS!I13*HOLDS!$E13</f>
        <v>0</v>
      </c>
      <c r="AB6">
        <f>HOLDS!J13*HOLDS!$E13</f>
        <v>0</v>
      </c>
      <c r="AC6">
        <f>HOLDS!K13*HOLDS!$E13</f>
        <v>0</v>
      </c>
      <c r="AD6">
        <f>HOLDS!L13*HOLDS!$E13</f>
        <v>0</v>
      </c>
      <c r="AE6">
        <f>HOLDS!M13*HOLDS!$E13</f>
        <v>0</v>
      </c>
      <c r="AF6">
        <f>HOLDS!N13*HOLDS!$E13</f>
        <v>0</v>
      </c>
      <c r="AG6">
        <f>HOLDS!O13*HOLDS!$E13</f>
        <v>0</v>
      </c>
      <c r="AH6">
        <f>HOLDS!P13*HOLDS!$E13</f>
        <v>0</v>
      </c>
      <c r="AI6">
        <f>HOLDS!Q13*HOLDS!$E13</f>
        <v>0</v>
      </c>
      <c r="AJ6">
        <f>HOLDS!R13*HOLDS!$E13</f>
        <v>0</v>
      </c>
      <c r="AK6">
        <f>HOLDS!S13*HOLDS!$E13</f>
        <v>0</v>
      </c>
      <c r="AL6">
        <f>HOLDS!T13*HOLDS!$E13</f>
        <v>0</v>
      </c>
      <c r="AM6">
        <f>HOLDS!U13*HOLDS!$E13</f>
        <v>0</v>
      </c>
      <c r="AN6">
        <f>HOLDS!V13*HOLDS!$E13</f>
        <v>0</v>
      </c>
      <c r="AO6">
        <f>HOLDS!W13*HOLDS!$E13</f>
        <v>0</v>
      </c>
      <c r="AR6">
        <f>SUM(HOLDS!G13:W13)*'Datenbank Holds'!AA7</f>
        <v>0</v>
      </c>
      <c r="AS6">
        <f>SUM(HOLDS!G13:W13)*'Datenbank Holds'!AC7</f>
        <v>0</v>
      </c>
      <c r="AV6">
        <f>SUM(HOLDS!G13:W13)*'Datenbank Holds'!AF7</f>
        <v>0</v>
      </c>
    </row>
    <row r="7" spans="2:48" ht="19.5" thickBot="1" x14ac:dyDescent="0.35">
      <c r="B7" t="str">
        <f>PROPER(VLOOKUP(C7,'Datenbank Holds'!B:AI,26,FALSE))</f>
        <v>236,81</v>
      </c>
      <c r="C7" s="100" t="s">
        <v>120</v>
      </c>
      <c r="D7" s="43" t="str">
        <f>PROPER(VLOOKUP(C7,'Datenbank Holds'!B:C,2,FALSE))</f>
        <v>Kendo Good Edges 1</v>
      </c>
      <c r="E7" s="1">
        <f>SUM(HOLDS!G14:W14)</f>
        <v>0</v>
      </c>
      <c r="F7" s="5">
        <f>$E7*'Datenbank Holds'!H8</f>
        <v>0</v>
      </c>
      <c r="G7" s="5">
        <f>$E7*'Datenbank Holds'!I8</f>
        <v>0</v>
      </c>
      <c r="H7" s="5">
        <f>$E7*'Datenbank Holds'!J8</f>
        <v>0</v>
      </c>
      <c r="I7" s="5">
        <f>$E7*'Datenbank Holds'!K8</f>
        <v>0</v>
      </c>
      <c r="J7" s="5">
        <f>$E7*'Datenbank Holds'!L8</f>
        <v>0</v>
      </c>
      <c r="K7" s="5">
        <f>$E7*'Datenbank Holds'!M8</f>
        <v>0</v>
      </c>
      <c r="L7" s="5">
        <f>$E7*'Datenbank Holds'!N8</f>
        <v>0</v>
      </c>
      <c r="M7" s="5">
        <f>$E7*'Datenbank Holds'!O8</f>
        <v>0</v>
      </c>
      <c r="N7" s="5">
        <f>$E7*'Datenbank Holds'!P8</f>
        <v>0</v>
      </c>
      <c r="O7" s="5">
        <f>$E7*'Datenbank Holds'!Q8</f>
        <v>0</v>
      </c>
      <c r="P7" s="5">
        <f>$E7*'Datenbank Holds'!R8</f>
        <v>0</v>
      </c>
      <c r="Q7" s="5">
        <f>$E7*'Datenbank Holds'!S8</f>
        <v>0</v>
      </c>
      <c r="R7" s="5">
        <f>$E7*'Datenbank Holds'!T8</f>
        <v>0</v>
      </c>
      <c r="S7" s="5">
        <f>$E7*'Datenbank Holds'!U8</f>
        <v>0</v>
      </c>
      <c r="T7" s="5">
        <f>$E7*'Datenbank Holds'!V8</f>
        <v>0</v>
      </c>
      <c r="U7" s="5">
        <f>$E7*'Datenbank Holds'!W8</f>
        <v>0</v>
      </c>
      <c r="V7" s="5">
        <f>$E7*'Datenbank Holds'!X8</f>
        <v>0</v>
      </c>
      <c r="Y7">
        <f>HOLDS!G14*HOLDS!$E14</f>
        <v>0</v>
      </c>
      <c r="Z7">
        <f>HOLDS!H14*HOLDS!$E14</f>
        <v>0</v>
      </c>
      <c r="AA7">
        <f>HOLDS!I14*HOLDS!$E14</f>
        <v>0</v>
      </c>
      <c r="AB7">
        <f>HOLDS!J14*HOLDS!$E14</f>
        <v>0</v>
      </c>
      <c r="AC7">
        <f>HOLDS!K14*HOLDS!$E14</f>
        <v>0</v>
      </c>
      <c r="AD7">
        <f>HOLDS!L14*HOLDS!$E14</f>
        <v>0</v>
      </c>
      <c r="AE7">
        <f>HOLDS!M14*HOLDS!$E14</f>
        <v>0</v>
      </c>
      <c r="AF7">
        <f>HOLDS!N14*HOLDS!$E14</f>
        <v>0</v>
      </c>
      <c r="AG7">
        <f>HOLDS!O14*HOLDS!$E14</f>
        <v>0</v>
      </c>
      <c r="AH7">
        <f>HOLDS!P14*HOLDS!$E14</f>
        <v>0</v>
      </c>
      <c r="AI7">
        <f>HOLDS!Q14*HOLDS!$E14</f>
        <v>0</v>
      </c>
      <c r="AJ7">
        <f>HOLDS!R14*HOLDS!$E14</f>
        <v>0</v>
      </c>
      <c r="AK7">
        <f>HOLDS!S14*HOLDS!$E14</f>
        <v>0</v>
      </c>
      <c r="AL7">
        <f>HOLDS!T14*HOLDS!$E14</f>
        <v>0</v>
      </c>
      <c r="AM7">
        <f>HOLDS!U14*HOLDS!$E14</f>
        <v>0</v>
      </c>
      <c r="AN7">
        <f>HOLDS!V14*HOLDS!$E14</f>
        <v>0</v>
      </c>
      <c r="AO7">
        <f>HOLDS!W14*HOLDS!$E14</f>
        <v>0</v>
      </c>
      <c r="AR7">
        <f>SUM(HOLDS!G14:W14)*'Datenbank Holds'!AA8</f>
        <v>0</v>
      </c>
      <c r="AS7">
        <f>SUM(HOLDS!G14:W14)*'Datenbank Holds'!AC8</f>
        <v>0</v>
      </c>
      <c r="AV7">
        <f>SUM(HOLDS!G14:W14)*'Datenbank Holds'!AF8</f>
        <v>0</v>
      </c>
    </row>
    <row r="8" spans="2:48" ht="19.5" thickBot="1" x14ac:dyDescent="0.35">
      <c r="B8" t="str">
        <f>PROPER(VLOOKUP(C8,'Datenbank Holds'!B:AI,26,FALSE))</f>
        <v>141,61</v>
      </c>
      <c r="C8" s="100" t="s">
        <v>121</v>
      </c>
      <c r="D8" s="43" t="str">
        <f>PROPER(VLOOKUP(C8,'Datenbank Holds'!B:C,2,FALSE))</f>
        <v>Kendo Bad Edges 1</v>
      </c>
      <c r="E8" s="1">
        <f>SUM(HOLDS!G15:W15)</f>
        <v>0</v>
      </c>
      <c r="F8" s="5">
        <f>$E8*'Datenbank Holds'!H9</f>
        <v>0</v>
      </c>
      <c r="G8" s="5">
        <f>$E8*'Datenbank Holds'!I9</f>
        <v>0</v>
      </c>
      <c r="H8" s="5">
        <f>$E8*'Datenbank Holds'!J9</f>
        <v>0</v>
      </c>
      <c r="I8" s="5">
        <f>$E8*'Datenbank Holds'!K9</f>
        <v>0</v>
      </c>
      <c r="J8" s="5">
        <f>$E8*'Datenbank Holds'!L9</f>
        <v>0</v>
      </c>
      <c r="K8" s="5">
        <f>$E8*'Datenbank Holds'!M9</f>
        <v>0</v>
      </c>
      <c r="L8" s="5">
        <f>$E8*'Datenbank Holds'!N9</f>
        <v>0</v>
      </c>
      <c r="M8" s="5">
        <f>$E8*'Datenbank Holds'!O9</f>
        <v>0</v>
      </c>
      <c r="N8" s="5">
        <f>$E8*'Datenbank Holds'!P9</f>
        <v>0</v>
      </c>
      <c r="O8" s="5">
        <f>$E8*'Datenbank Holds'!Q9</f>
        <v>0</v>
      </c>
      <c r="P8" s="5">
        <f>$E8*'Datenbank Holds'!R9</f>
        <v>0</v>
      </c>
      <c r="Q8" s="5">
        <f>$E8*'Datenbank Holds'!S9</f>
        <v>0</v>
      </c>
      <c r="R8" s="5">
        <f>$E8*'Datenbank Holds'!T9</f>
        <v>0</v>
      </c>
      <c r="S8" s="5">
        <f>$E8*'Datenbank Holds'!U9</f>
        <v>0</v>
      </c>
      <c r="T8" s="5">
        <f>$E8*'Datenbank Holds'!V9</f>
        <v>0</v>
      </c>
      <c r="U8" s="5">
        <f>$E8*'Datenbank Holds'!W9</f>
        <v>0</v>
      </c>
      <c r="V8" s="5">
        <f>$E8*'Datenbank Holds'!X9</f>
        <v>0</v>
      </c>
      <c r="Y8">
        <f>HOLDS!G15*HOLDS!$E15</f>
        <v>0</v>
      </c>
      <c r="Z8">
        <f>HOLDS!H15*HOLDS!$E15</f>
        <v>0</v>
      </c>
      <c r="AA8">
        <f>HOLDS!I15*HOLDS!$E15</f>
        <v>0</v>
      </c>
      <c r="AB8">
        <f>HOLDS!J15*HOLDS!$E15</f>
        <v>0</v>
      </c>
      <c r="AC8">
        <f>HOLDS!K15*HOLDS!$E15</f>
        <v>0</v>
      </c>
      <c r="AD8">
        <f>HOLDS!L15*HOLDS!$E15</f>
        <v>0</v>
      </c>
      <c r="AE8">
        <f>HOLDS!M15*HOLDS!$E15</f>
        <v>0</v>
      </c>
      <c r="AF8">
        <f>HOLDS!N15*HOLDS!$E15</f>
        <v>0</v>
      </c>
      <c r="AG8">
        <f>HOLDS!O15*HOLDS!$E15</f>
        <v>0</v>
      </c>
      <c r="AH8">
        <f>HOLDS!P15*HOLDS!$E15</f>
        <v>0</v>
      </c>
      <c r="AI8">
        <f>HOLDS!Q15*HOLDS!$E15</f>
        <v>0</v>
      </c>
      <c r="AJ8">
        <f>HOLDS!R15*HOLDS!$E15</f>
        <v>0</v>
      </c>
      <c r="AK8">
        <f>HOLDS!S15*HOLDS!$E15</f>
        <v>0</v>
      </c>
      <c r="AL8">
        <f>HOLDS!T15*HOLDS!$E15</f>
        <v>0</v>
      </c>
      <c r="AM8">
        <f>HOLDS!U15*HOLDS!$E15</f>
        <v>0</v>
      </c>
      <c r="AN8">
        <f>HOLDS!V15*HOLDS!$E15</f>
        <v>0</v>
      </c>
      <c r="AO8">
        <f>HOLDS!W15*HOLDS!$E15</f>
        <v>0</v>
      </c>
      <c r="AR8">
        <f>SUM(HOLDS!G15:W15)*'Datenbank Holds'!AA9</f>
        <v>0</v>
      </c>
      <c r="AS8">
        <f>SUM(HOLDS!G15:W15)*'Datenbank Holds'!AC9</f>
        <v>0</v>
      </c>
      <c r="AV8">
        <f>SUM(HOLDS!G15:W15)*'Datenbank Holds'!AF9</f>
        <v>0</v>
      </c>
    </row>
    <row r="9" spans="2:48" ht="19.5" thickBot="1" x14ac:dyDescent="0.35">
      <c r="B9" t="str">
        <f>PROPER(VLOOKUP(C9,'Datenbank Holds'!B:AI,26,FALSE))</f>
        <v>236,81</v>
      </c>
      <c r="C9" s="100" t="s">
        <v>155</v>
      </c>
      <c r="D9" s="43" t="str">
        <f>PROPER(VLOOKUP(C9,'Datenbank Holds'!B:C,2,FALSE))</f>
        <v>*New* Kendo Good Jugs 4</v>
      </c>
      <c r="E9" s="1">
        <f>SUM(HOLDS!G16:W16)</f>
        <v>0</v>
      </c>
      <c r="F9" s="5">
        <f>$E9*'Datenbank Holds'!H10</f>
        <v>0</v>
      </c>
      <c r="G9" s="5">
        <f>$E9*'Datenbank Holds'!I10</f>
        <v>0</v>
      </c>
      <c r="H9" s="5">
        <f>$E9*'Datenbank Holds'!J10</f>
        <v>0</v>
      </c>
      <c r="I9" s="5">
        <f>$E9*'Datenbank Holds'!K10</f>
        <v>0</v>
      </c>
      <c r="J9" s="5">
        <f>$E9*'Datenbank Holds'!L10</f>
        <v>0</v>
      </c>
      <c r="K9" s="5">
        <f>$E9*'Datenbank Holds'!M10</f>
        <v>0</v>
      </c>
      <c r="L9" s="5">
        <f>$E9*'Datenbank Holds'!N10</f>
        <v>0</v>
      </c>
      <c r="M9" s="5">
        <f>$E9*'Datenbank Holds'!O10</f>
        <v>0</v>
      </c>
      <c r="N9" s="5">
        <f>$E9*'Datenbank Holds'!P10</f>
        <v>0</v>
      </c>
      <c r="O9" s="5">
        <f>$E9*'Datenbank Holds'!Q10</f>
        <v>0</v>
      </c>
      <c r="P9" s="5">
        <f>$E9*'Datenbank Holds'!R10</f>
        <v>0</v>
      </c>
      <c r="Q9" s="5">
        <f>$E9*'Datenbank Holds'!S10</f>
        <v>0</v>
      </c>
      <c r="R9" s="5">
        <f>$E9*'Datenbank Holds'!T10</f>
        <v>0</v>
      </c>
      <c r="S9" s="5">
        <f>$E9*'Datenbank Holds'!U10</f>
        <v>0</v>
      </c>
      <c r="T9" s="5">
        <f>$E9*'Datenbank Holds'!V10</f>
        <v>0</v>
      </c>
      <c r="U9" s="5">
        <f>$E9*'Datenbank Holds'!W10</f>
        <v>0</v>
      </c>
      <c r="V9" s="5">
        <f>$E9*'Datenbank Holds'!X10</f>
        <v>0</v>
      </c>
      <c r="Y9">
        <f>HOLDS!G16*HOLDS!$E16</f>
        <v>0</v>
      </c>
      <c r="Z9">
        <f>HOLDS!H16*HOLDS!$E16</f>
        <v>0</v>
      </c>
      <c r="AA9">
        <f>HOLDS!I16*HOLDS!$E16</f>
        <v>0</v>
      </c>
      <c r="AB9">
        <f>HOLDS!J16*HOLDS!$E16</f>
        <v>0</v>
      </c>
      <c r="AC9">
        <f>HOLDS!K16*HOLDS!$E16</f>
        <v>0</v>
      </c>
      <c r="AD9">
        <f>HOLDS!L16*HOLDS!$E16</f>
        <v>0</v>
      </c>
      <c r="AE9">
        <f>HOLDS!M16*HOLDS!$E16</f>
        <v>0</v>
      </c>
      <c r="AF9">
        <f>HOLDS!N16*HOLDS!$E16</f>
        <v>0</v>
      </c>
      <c r="AG9">
        <f>HOLDS!O16*HOLDS!$E16</f>
        <v>0</v>
      </c>
      <c r="AH9">
        <f>HOLDS!P16*HOLDS!$E16</f>
        <v>0</v>
      </c>
      <c r="AI9">
        <f>HOLDS!Q16*HOLDS!$E16</f>
        <v>0</v>
      </c>
      <c r="AJ9">
        <f>HOLDS!R16*HOLDS!$E16</f>
        <v>0</v>
      </c>
      <c r="AK9">
        <f>HOLDS!S16*HOLDS!$E16</f>
        <v>0</v>
      </c>
      <c r="AL9">
        <f>HOLDS!T16*HOLDS!$E16</f>
        <v>0</v>
      </c>
      <c r="AM9">
        <f>HOLDS!U16*HOLDS!$E16</f>
        <v>0</v>
      </c>
      <c r="AN9">
        <f>HOLDS!V16*HOLDS!$E16</f>
        <v>0</v>
      </c>
      <c r="AO9">
        <f>HOLDS!W16*HOLDS!$E16</f>
        <v>0</v>
      </c>
      <c r="AR9">
        <f>SUM(HOLDS!G16:W16)*'Datenbank Holds'!AA10</f>
        <v>0</v>
      </c>
      <c r="AS9">
        <f>SUM(HOLDS!G16:W16)*'Datenbank Holds'!AC10</f>
        <v>0</v>
      </c>
      <c r="AV9">
        <f>SUM(HOLDS!G16:W16)*'Datenbank Holds'!AF10</f>
        <v>0</v>
      </c>
    </row>
    <row r="10" spans="2:48" ht="19.5" thickBot="1" x14ac:dyDescent="0.35">
      <c r="B10" t="str">
        <f>PROPER(VLOOKUP(C10,'Datenbank Holds'!B:AI,26,FALSE))</f>
        <v>355,81</v>
      </c>
      <c r="C10" s="100" t="s">
        <v>122</v>
      </c>
      <c r="D10" s="43" t="str">
        <f>PROPER(VLOOKUP(C10,'Datenbank Holds'!B:C,2,FALSE))</f>
        <v>Kendo Good Edges 2</v>
      </c>
      <c r="E10" s="1">
        <f>SUM(HOLDS!G17:W17)</f>
        <v>0</v>
      </c>
      <c r="F10" s="5">
        <f>$E10*'Datenbank Holds'!H11</f>
        <v>0</v>
      </c>
      <c r="G10" s="5">
        <f>$E10*'Datenbank Holds'!I11</f>
        <v>0</v>
      </c>
      <c r="H10" s="5">
        <f>$E10*'Datenbank Holds'!J11</f>
        <v>0</v>
      </c>
      <c r="I10" s="5">
        <f>$E10*'Datenbank Holds'!K11</f>
        <v>0</v>
      </c>
      <c r="J10" s="5">
        <f>$E10*'Datenbank Holds'!L11</f>
        <v>0</v>
      </c>
      <c r="K10" s="5">
        <f>$E10*'Datenbank Holds'!M11</f>
        <v>0</v>
      </c>
      <c r="L10" s="5">
        <f>$E10*'Datenbank Holds'!N11</f>
        <v>0</v>
      </c>
      <c r="M10" s="5">
        <f>$E10*'Datenbank Holds'!O11</f>
        <v>0</v>
      </c>
      <c r="N10" s="5">
        <f>$E10*'Datenbank Holds'!P11</f>
        <v>0</v>
      </c>
      <c r="O10" s="5">
        <f>$E10*'Datenbank Holds'!Q11</f>
        <v>0</v>
      </c>
      <c r="P10" s="5">
        <f>$E10*'Datenbank Holds'!R11</f>
        <v>0</v>
      </c>
      <c r="Q10" s="5">
        <f>$E10*'Datenbank Holds'!S11</f>
        <v>0</v>
      </c>
      <c r="R10" s="5">
        <f>$E10*'Datenbank Holds'!T11</f>
        <v>0</v>
      </c>
      <c r="S10" s="5">
        <f>$E10*'Datenbank Holds'!U11</f>
        <v>0</v>
      </c>
      <c r="T10" s="5">
        <f>$E10*'Datenbank Holds'!V11</f>
        <v>0</v>
      </c>
      <c r="U10" s="5">
        <f>$E10*'Datenbank Holds'!W11</f>
        <v>0</v>
      </c>
      <c r="V10" s="5">
        <f>$E10*'Datenbank Holds'!X11</f>
        <v>0</v>
      </c>
      <c r="Y10">
        <f>HOLDS!G17*HOLDS!$E17</f>
        <v>0</v>
      </c>
      <c r="Z10">
        <f>HOLDS!H17*HOLDS!$E17</f>
        <v>0</v>
      </c>
      <c r="AA10">
        <f>HOLDS!I17*HOLDS!$E17</f>
        <v>0</v>
      </c>
      <c r="AB10">
        <f>HOLDS!J17*HOLDS!$E17</f>
        <v>0</v>
      </c>
      <c r="AC10">
        <f>HOLDS!K17*HOLDS!$E17</f>
        <v>0</v>
      </c>
      <c r="AD10">
        <f>HOLDS!L17*HOLDS!$E17</f>
        <v>0</v>
      </c>
      <c r="AE10">
        <f>HOLDS!M17*HOLDS!$E17</f>
        <v>0</v>
      </c>
      <c r="AF10">
        <f>HOLDS!N17*HOLDS!$E17</f>
        <v>0</v>
      </c>
      <c r="AG10">
        <f>HOLDS!O17*HOLDS!$E17</f>
        <v>0</v>
      </c>
      <c r="AH10">
        <f>HOLDS!P17*HOLDS!$E17</f>
        <v>0</v>
      </c>
      <c r="AI10">
        <f>HOLDS!Q17*HOLDS!$E17</f>
        <v>0</v>
      </c>
      <c r="AJ10">
        <f>HOLDS!R17*HOLDS!$E17</f>
        <v>0</v>
      </c>
      <c r="AK10">
        <f>HOLDS!S17*HOLDS!$E17</f>
        <v>0</v>
      </c>
      <c r="AL10">
        <f>HOLDS!T17*HOLDS!$E17</f>
        <v>0</v>
      </c>
      <c r="AM10">
        <f>HOLDS!U17*HOLDS!$E17</f>
        <v>0</v>
      </c>
      <c r="AN10">
        <f>HOLDS!V17*HOLDS!$E17</f>
        <v>0</v>
      </c>
      <c r="AO10">
        <f>HOLDS!W17*HOLDS!$E17</f>
        <v>0</v>
      </c>
      <c r="AR10">
        <f>SUM(HOLDS!G17:W17)*'Datenbank Holds'!AA11</f>
        <v>0</v>
      </c>
      <c r="AS10">
        <f>SUM(HOLDS!G17:W17)*'Datenbank Holds'!AC11</f>
        <v>0</v>
      </c>
      <c r="AV10">
        <f>SUM(HOLDS!G17:W17)*'Datenbank Holds'!AF11</f>
        <v>0</v>
      </c>
    </row>
    <row r="11" spans="2:48" ht="19.5" thickBot="1" x14ac:dyDescent="0.35">
      <c r="B11" t="str">
        <f>PROPER(VLOOKUP(C11,'Datenbank Holds'!B:AI,26,FALSE))</f>
        <v>291,55</v>
      </c>
      <c r="C11" s="100" t="s">
        <v>123</v>
      </c>
      <c r="D11" s="43" t="str">
        <f>PROPER(VLOOKUP(C11,'Datenbank Holds'!B:C,2,FALSE))</f>
        <v>Kendo Bad Edges 2</v>
      </c>
      <c r="E11" s="1">
        <f>SUM(HOLDS!G18:W18)</f>
        <v>0</v>
      </c>
      <c r="F11" s="5">
        <f>$E11*'Datenbank Holds'!H12</f>
        <v>0</v>
      </c>
      <c r="G11" s="5">
        <f>$E11*'Datenbank Holds'!I12</f>
        <v>0</v>
      </c>
      <c r="H11" s="5">
        <f>$E11*'Datenbank Holds'!J12</f>
        <v>0</v>
      </c>
      <c r="I11" s="5">
        <f>$E11*'Datenbank Holds'!K12</f>
        <v>0</v>
      </c>
      <c r="J11" s="5">
        <f>$E11*'Datenbank Holds'!L12</f>
        <v>0</v>
      </c>
      <c r="K11" s="5">
        <f>$E11*'Datenbank Holds'!M12</f>
        <v>0</v>
      </c>
      <c r="L11" s="5">
        <f>$E11*'Datenbank Holds'!N12</f>
        <v>0</v>
      </c>
      <c r="M11" s="5">
        <f>$E11*'Datenbank Holds'!O12</f>
        <v>0</v>
      </c>
      <c r="N11" s="5">
        <f>$E11*'Datenbank Holds'!P12</f>
        <v>0</v>
      </c>
      <c r="O11" s="5">
        <f>$E11*'Datenbank Holds'!Q12</f>
        <v>0</v>
      </c>
      <c r="P11" s="5">
        <f>$E11*'Datenbank Holds'!R12</f>
        <v>0</v>
      </c>
      <c r="Q11" s="5">
        <f>$E11*'Datenbank Holds'!S12</f>
        <v>0</v>
      </c>
      <c r="R11" s="5">
        <f>$E11*'Datenbank Holds'!T12</f>
        <v>0</v>
      </c>
      <c r="S11" s="5">
        <f>$E11*'Datenbank Holds'!U12</f>
        <v>0</v>
      </c>
      <c r="T11" s="5">
        <f>$E11*'Datenbank Holds'!V12</f>
        <v>0</v>
      </c>
      <c r="U11" s="5">
        <f>$E11*'Datenbank Holds'!W12</f>
        <v>0</v>
      </c>
      <c r="V11" s="5">
        <f>$E11*'Datenbank Holds'!X12</f>
        <v>0</v>
      </c>
      <c r="Y11">
        <f>HOLDS!G18*HOLDS!$E18</f>
        <v>0</v>
      </c>
      <c r="Z11">
        <f>HOLDS!H18*HOLDS!$E18</f>
        <v>0</v>
      </c>
      <c r="AA11">
        <f>HOLDS!I18*HOLDS!$E18</f>
        <v>0</v>
      </c>
      <c r="AB11">
        <f>HOLDS!J18*HOLDS!$E18</f>
        <v>0</v>
      </c>
      <c r="AC11">
        <f>HOLDS!K18*HOLDS!$E18</f>
        <v>0</v>
      </c>
      <c r="AD11">
        <f>HOLDS!L18*HOLDS!$E18</f>
        <v>0</v>
      </c>
      <c r="AE11">
        <f>HOLDS!M18*HOLDS!$E18</f>
        <v>0</v>
      </c>
      <c r="AF11">
        <f>HOLDS!N18*HOLDS!$E18</f>
        <v>0</v>
      </c>
      <c r="AG11">
        <f>HOLDS!O18*HOLDS!$E18</f>
        <v>0</v>
      </c>
      <c r="AH11">
        <f>HOLDS!P18*HOLDS!$E18</f>
        <v>0</v>
      </c>
      <c r="AI11">
        <f>HOLDS!Q18*HOLDS!$E18</f>
        <v>0</v>
      </c>
      <c r="AJ11">
        <f>HOLDS!R18*HOLDS!$E18</f>
        <v>0</v>
      </c>
      <c r="AK11">
        <f>HOLDS!S18*HOLDS!$E18</f>
        <v>0</v>
      </c>
      <c r="AL11">
        <f>HOLDS!T18*HOLDS!$E18</f>
        <v>0</v>
      </c>
      <c r="AM11">
        <f>HOLDS!U18*HOLDS!$E18</f>
        <v>0</v>
      </c>
      <c r="AN11">
        <f>HOLDS!V18*HOLDS!$E18</f>
        <v>0</v>
      </c>
      <c r="AO11">
        <f>HOLDS!W18*HOLDS!$E18</f>
        <v>0</v>
      </c>
      <c r="AR11">
        <f>SUM(HOLDS!G18:W18)*'Datenbank Holds'!AA12</f>
        <v>0</v>
      </c>
      <c r="AS11">
        <f>SUM(HOLDS!G18:W18)*'Datenbank Holds'!AC12</f>
        <v>0</v>
      </c>
      <c r="AV11">
        <f>SUM(HOLDS!G18:W18)*'Datenbank Holds'!AF12</f>
        <v>0</v>
      </c>
    </row>
    <row r="12" spans="2:48" ht="19.5" thickBot="1" x14ac:dyDescent="0.35">
      <c r="B12" t="str">
        <f>PROPER(VLOOKUP(C12,'Datenbank Holds'!B:AI,26,FALSE))</f>
        <v>177,31</v>
      </c>
      <c r="C12" s="100" t="s">
        <v>124</v>
      </c>
      <c r="D12" s="43" t="str">
        <f>PROPER(VLOOKUP(C12,'Datenbank Holds'!B:C,2,FALSE))</f>
        <v>Kendo Edges 1</v>
      </c>
      <c r="E12" s="1">
        <f>SUM(HOLDS!G19:W19)</f>
        <v>0</v>
      </c>
      <c r="F12" s="5">
        <f>$E12*'Datenbank Holds'!H13</f>
        <v>0</v>
      </c>
      <c r="G12" s="5">
        <f>$E12*'Datenbank Holds'!I13</f>
        <v>0</v>
      </c>
      <c r="H12" s="5">
        <f>$E12*'Datenbank Holds'!J13</f>
        <v>0</v>
      </c>
      <c r="I12" s="5">
        <f>$E12*'Datenbank Holds'!K13</f>
        <v>0</v>
      </c>
      <c r="J12" s="5">
        <f>$E12*'Datenbank Holds'!L13</f>
        <v>0</v>
      </c>
      <c r="K12" s="5">
        <f>$E12*'Datenbank Holds'!M13</f>
        <v>0</v>
      </c>
      <c r="L12" s="5">
        <f>$E12*'Datenbank Holds'!N13</f>
        <v>0</v>
      </c>
      <c r="M12" s="5">
        <f>$E12*'Datenbank Holds'!O13</f>
        <v>0</v>
      </c>
      <c r="N12" s="5">
        <f>$E12*'Datenbank Holds'!P13</f>
        <v>0</v>
      </c>
      <c r="O12" s="5">
        <f>$E12*'Datenbank Holds'!Q13</f>
        <v>0</v>
      </c>
      <c r="P12" s="5">
        <f>$E12*'Datenbank Holds'!R13</f>
        <v>0</v>
      </c>
      <c r="Q12" s="5">
        <f>$E12*'Datenbank Holds'!S13</f>
        <v>0</v>
      </c>
      <c r="R12" s="5">
        <f>$E12*'Datenbank Holds'!T13</f>
        <v>0</v>
      </c>
      <c r="S12" s="5">
        <f>$E12*'Datenbank Holds'!U13</f>
        <v>0</v>
      </c>
      <c r="T12" s="5">
        <f>$E12*'Datenbank Holds'!V13</f>
        <v>0</v>
      </c>
      <c r="U12" s="5">
        <f>$E12*'Datenbank Holds'!W13</f>
        <v>0</v>
      </c>
      <c r="V12" s="5">
        <f>$E12*'Datenbank Holds'!X13</f>
        <v>0</v>
      </c>
      <c r="Y12">
        <f>HOLDS!G19*HOLDS!$E19</f>
        <v>0</v>
      </c>
      <c r="Z12">
        <f>HOLDS!H19*HOLDS!$E19</f>
        <v>0</v>
      </c>
      <c r="AA12">
        <f>HOLDS!I19*HOLDS!$E19</f>
        <v>0</v>
      </c>
      <c r="AB12">
        <f>HOLDS!J19*HOLDS!$E19</f>
        <v>0</v>
      </c>
      <c r="AC12">
        <f>HOLDS!K19*HOLDS!$E19</f>
        <v>0</v>
      </c>
      <c r="AD12">
        <f>HOLDS!L19*HOLDS!$E19</f>
        <v>0</v>
      </c>
      <c r="AE12">
        <f>HOLDS!M19*HOLDS!$E19</f>
        <v>0</v>
      </c>
      <c r="AF12">
        <f>HOLDS!N19*HOLDS!$E19</f>
        <v>0</v>
      </c>
      <c r="AG12">
        <f>HOLDS!O19*HOLDS!$E19</f>
        <v>0</v>
      </c>
      <c r="AH12">
        <f>HOLDS!P19*HOLDS!$E19</f>
        <v>0</v>
      </c>
      <c r="AI12">
        <f>HOLDS!Q19*HOLDS!$E19</f>
        <v>0</v>
      </c>
      <c r="AJ12">
        <f>HOLDS!R19*HOLDS!$E19</f>
        <v>0</v>
      </c>
      <c r="AK12">
        <f>HOLDS!S19*HOLDS!$E19</f>
        <v>0</v>
      </c>
      <c r="AL12">
        <f>HOLDS!T19*HOLDS!$E19</f>
        <v>0</v>
      </c>
      <c r="AM12">
        <f>HOLDS!U19*HOLDS!$E19</f>
        <v>0</v>
      </c>
      <c r="AN12">
        <f>HOLDS!V19*HOLDS!$E19</f>
        <v>0</v>
      </c>
      <c r="AO12">
        <f>HOLDS!W19*HOLDS!$E19</f>
        <v>0</v>
      </c>
      <c r="AR12">
        <f>SUM(HOLDS!G19:W19)*'Datenbank Holds'!AA13</f>
        <v>0</v>
      </c>
      <c r="AS12">
        <f>SUM(HOLDS!G19:W19)*'Datenbank Holds'!AC13</f>
        <v>0</v>
      </c>
      <c r="AV12">
        <f>SUM(HOLDS!G19:W19)*'Datenbank Holds'!AF13</f>
        <v>0</v>
      </c>
    </row>
    <row r="13" spans="2:48" ht="19.5" thickBot="1" x14ac:dyDescent="0.35">
      <c r="B13" t="str">
        <f>PROPER(VLOOKUP(C13,'Datenbank Holds'!B:AI,26,FALSE))</f>
        <v>315,35</v>
      </c>
      <c r="C13" s="100" t="s">
        <v>125</v>
      </c>
      <c r="D13" s="43" t="str">
        <f>PROPER(VLOOKUP(C13,'Datenbank Holds'!B:C,2,FALSE))</f>
        <v>Kendo Jugs 2</v>
      </c>
      <c r="E13" s="1">
        <f>SUM(HOLDS!G20:W20)</f>
        <v>0</v>
      </c>
      <c r="F13" s="5">
        <f>$E13*'Datenbank Holds'!H14</f>
        <v>0</v>
      </c>
      <c r="G13" s="5">
        <f>$E13*'Datenbank Holds'!I14</f>
        <v>0</v>
      </c>
      <c r="H13" s="5">
        <f>$E13*'Datenbank Holds'!J14</f>
        <v>0</v>
      </c>
      <c r="I13" s="5">
        <f>$E13*'Datenbank Holds'!K14</f>
        <v>0</v>
      </c>
      <c r="J13" s="5">
        <f>$E13*'Datenbank Holds'!L14</f>
        <v>0</v>
      </c>
      <c r="K13" s="5">
        <f>$E13*'Datenbank Holds'!M14</f>
        <v>0</v>
      </c>
      <c r="L13" s="5">
        <f>$E13*'Datenbank Holds'!N14</f>
        <v>0</v>
      </c>
      <c r="M13" s="5">
        <f>$E13*'Datenbank Holds'!O14</f>
        <v>0</v>
      </c>
      <c r="N13" s="5">
        <f>$E13*'Datenbank Holds'!P14</f>
        <v>0</v>
      </c>
      <c r="O13" s="5">
        <f>$E13*'Datenbank Holds'!Q14</f>
        <v>0</v>
      </c>
      <c r="P13" s="5">
        <f>$E13*'Datenbank Holds'!R14</f>
        <v>0</v>
      </c>
      <c r="Q13" s="5">
        <f>$E13*'Datenbank Holds'!S14</f>
        <v>0</v>
      </c>
      <c r="R13" s="5">
        <f>$E13*'Datenbank Holds'!T14</f>
        <v>0</v>
      </c>
      <c r="S13" s="5">
        <f>$E13*'Datenbank Holds'!U14</f>
        <v>0</v>
      </c>
      <c r="T13" s="5">
        <f>$E13*'Datenbank Holds'!V14</f>
        <v>0</v>
      </c>
      <c r="U13" s="5">
        <f>$E13*'Datenbank Holds'!W14</f>
        <v>0</v>
      </c>
      <c r="V13" s="5">
        <f>$E13*'Datenbank Holds'!X14</f>
        <v>0</v>
      </c>
      <c r="Y13">
        <f>HOLDS!G20*HOLDS!$E20</f>
        <v>0</v>
      </c>
      <c r="Z13">
        <f>HOLDS!H20*HOLDS!$E20</f>
        <v>0</v>
      </c>
      <c r="AA13">
        <f>HOLDS!I20*HOLDS!$E20</f>
        <v>0</v>
      </c>
      <c r="AB13">
        <f>HOLDS!J20*HOLDS!$E20</f>
        <v>0</v>
      </c>
      <c r="AC13">
        <f>HOLDS!K20*HOLDS!$E20</f>
        <v>0</v>
      </c>
      <c r="AD13">
        <f>HOLDS!L20*HOLDS!$E20</f>
        <v>0</v>
      </c>
      <c r="AE13">
        <f>HOLDS!M20*HOLDS!$E20</f>
        <v>0</v>
      </c>
      <c r="AF13">
        <f>HOLDS!N20*HOLDS!$E20</f>
        <v>0</v>
      </c>
      <c r="AG13">
        <f>HOLDS!O20*HOLDS!$E20</f>
        <v>0</v>
      </c>
      <c r="AH13">
        <f>HOLDS!P20*HOLDS!$E20</f>
        <v>0</v>
      </c>
      <c r="AI13">
        <f>HOLDS!Q20*HOLDS!$E20</f>
        <v>0</v>
      </c>
      <c r="AJ13">
        <f>HOLDS!R20*HOLDS!$E20</f>
        <v>0</v>
      </c>
      <c r="AK13">
        <f>HOLDS!S20*HOLDS!$E20</f>
        <v>0</v>
      </c>
      <c r="AL13">
        <f>HOLDS!T20*HOLDS!$E20</f>
        <v>0</v>
      </c>
      <c r="AM13">
        <f>HOLDS!U20*HOLDS!$E20</f>
        <v>0</v>
      </c>
      <c r="AN13">
        <f>HOLDS!V20*HOLDS!$E20</f>
        <v>0</v>
      </c>
      <c r="AO13">
        <f>HOLDS!W20*HOLDS!$E20</f>
        <v>0</v>
      </c>
      <c r="AR13">
        <f>SUM(HOLDS!G20:W20)*'Datenbank Holds'!AA14</f>
        <v>0</v>
      </c>
      <c r="AS13">
        <f>SUM(HOLDS!G20:W20)*'Datenbank Holds'!AC14</f>
        <v>0</v>
      </c>
      <c r="AV13">
        <f>SUM(HOLDS!G20:W20)*'Datenbank Holds'!AF14</f>
        <v>0</v>
      </c>
    </row>
    <row r="14" spans="2:48" ht="19.5" thickBot="1" x14ac:dyDescent="0.35">
      <c r="B14" t="str">
        <f>PROPER(VLOOKUP(C14,'Datenbank Holds'!B:AI,26,FALSE))</f>
        <v>117,81</v>
      </c>
      <c r="C14" s="100" t="s">
        <v>150</v>
      </c>
      <c r="D14" s="43" t="str">
        <f>PROPER(VLOOKUP(C14,'Datenbank Holds'!B:C,2,FALSE))</f>
        <v>*New* Kendo Good Jugs 2</v>
      </c>
      <c r="E14" s="1">
        <f>SUM(HOLDS!G21:W21)</f>
        <v>0</v>
      </c>
      <c r="F14" s="5">
        <f>$E14*'Datenbank Holds'!H15</f>
        <v>0</v>
      </c>
      <c r="G14" s="5">
        <f>$E14*'Datenbank Holds'!I15</f>
        <v>0</v>
      </c>
      <c r="H14" s="5">
        <f>$E14*'Datenbank Holds'!J15</f>
        <v>0</v>
      </c>
      <c r="I14" s="5">
        <f>$E14*'Datenbank Holds'!K15</f>
        <v>0</v>
      </c>
      <c r="J14" s="5">
        <f>$E14*'Datenbank Holds'!L15</f>
        <v>0</v>
      </c>
      <c r="K14" s="5">
        <f>$E14*'Datenbank Holds'!M15</f>
        <v>0</v>
      </c>
      <c r="L14" s="5">
        <f>$E14*'Datenbank Holds'!N15</f>
        <v>0</v>
      </c>
      <c r="M14" s="5">
        <f>$E14*'Datenbank Holds'!O15</f>
        <v>0</v>
      </c>
      <c r="N14" s="5">
        <f>$E14*'Datenbank Holds'!P15</f>
        <v>0</v>
      </c>
      <c r="O14" s="5">
        <f>$E14*'Datenbank Holds'!Q15</f>
        <v>0</v>
      </c>
      <c r="P14" s="5">
        <f>$E14*'Datenbank Holds'!R15</f>
        <v>0</v>
      </c>
      <c r="Q14" s="5">
        <f>$E14*'Datenbank Holds'!S15</f>
        <v>0</v>
      </c>
      <c r="R14" s="5">
        <f>$E14*'Datenbank Holds'!T15</f>
        <v>0</v>
      </c>
      <c r="S14" s="5">
        <f>$E14*'Datenbank Holds'!U15</f>
        <v>0</v>
      </c>
      <c r="T14" s="5">
        <f>$E14*'Datenbank Holds'!V15</f>
        <v>0</v>
      </c>
      <c r="U14" s="5">
        <f>$E14*'Datenbank Holds'!W15</f>
        <v>0</v>
      </c>
      <c r="V14" s="5">
        <f>$E14*'Datenbank Holds'!X15</f>
        <v>0</v>
      </c>
      <c r="Y14">
        <f>HOLDS!G21*HOLDS!$E21</f>
        <v>0</v>
      </c>
      <c r="Z14">
        <f>HOLDS!H21*HOLDS!$E21</f>
        <v>0</v>
      </c>
      <c r="AA14">
        <f>HOLDS!I21*HOLDS!$E21</f>
        <v>0</v>
      </c>
      <c r="AB14">
        <f>HOLDS!J21*HOLDS!$E21</f>
        <v>0</v>
      </c>
      <c r="AC14">
        <f>HOLDS!K21*HOLDS!$E21</f>
        <v>0</v>
      </c>
      <c r="AD14">
        <f>HOLDS!L21*HOLDS!$E21</f>
        <v>0</v>
      </c>
      <c r="AE14">
        <f>HOLDS!M21*HOLDS!$E21</f>
        <v>0</v>
      </c>
      <c r="AF14">
        <f>HOLDS!N21*HOLDS!$E21</f>
        <v>0</v>
      </c>
      <c r="AG14">
        <f>HOLDS!O21*HOLDS!$E21</f>
        <v>0</v>
      </c>
      <c r="AH14">
        <f>HOLDS!P21*HOLDS!$E21</f>
        <v>0</v>
      </c>
      <c r="AI14">
        <f>HOLDS!Q21*HOLDS!$E21</f>
        <v>0</v>
      </c>
      <c r="AJ14">
        <f>HOLDS!R21*HOLDS!$E21</f>
        <v>0</v>
      </c>
      <c r="AK14">
        <f>HOLDS!S21*HOLDS!$E21</f>
        <v>0</v>
      </c>
      <c r="AL14">
        <f>HOLDS!T21*HOLDS!$E21</f>
        <v>0</v>
      </c>
      <c r="AM14">
        <f>HOLDS!U21*HOLDS!$E21</f>
        <v>0</v>
      </c>
      <c r="AN14">
        <f>HOLDS!V21*HOLDS!$E21</f>
        <v>0</v>
      </c>
      <c r="AO14">
        <f>HOLDS!W21*HOLDS!$E21</f>
        <v>0</v>
      </c>
      <c r="AR14">
        <f>SUM(HOLDS!G21:W21)*'Datenbank Holds'!AA15</f>
        <v>0</v>
      </c>
      <c r="AS14">
        <f>SUM(HOLDS!G21:W21)*'Datenbank Holds'!AC15</f>
        <v>0</v>
      </c>
      <c r="AV14">
        <f>SUM(HOLDS!G21:W21)*'Datenbank Holds'!AF15</f>
        <v>0</v>
      </c>
    </row>
    <row r="15" spans="2:48" ht="19.5" thickBot="1" x14ac:dyDescent="0.35">
      <c r="B15" t="str">
        <f>PROPER(VLOOKUP(C15,'Datenbank Holds'!B:AI,26,FALSE))</f>
        <v>148,75</v>
      </c>
      <c r="C15" s="100" t="s">
        <v>151</v>
      </c>
      <c r="D15" s="43" t="str">
        <f>PROPER(VLOOKUP(C15,'Datenbank Holds'!B:C,2,FALSE))</f>
        <v>*New* Kendo Good Jugs 3</v>
      </c>
      <c r="E15" s="1">
        <f>SUM(HOLDS!G22:W22)</f>
        <v>0</v>
      </c>
      <c r="F15" s="5">
        <f>$E15*'Datenbank Holds'!H16</f>
        <v>0</v>
      </c>
      <c r="G15" s="5">
        <f>$E15*'Datenbank Holds'!I16</f>
        <v>0</v>
      </c>
      <c r="H15" s="5">
        <f>$E15*'Datenbank Holds'!J16</f>
        <v>0</v>
      </c>
      <c r="I15" s="5">
        <f>$E15*'Datenbank Holds'!K16</f>
        <v>0</v>
      </c>
      <c r="J15" s="5">
        <f>$E15*'Datenbank Holds'!L16</f>
        <v>0</v>
      </c>
      <c r="K15" s="5">
        <f>$E15*'Datenbank Holds'!M16</f>
        <v>0</v>
      </c>
      <c r="L15" s="5">
        <f>$E15*'Datenbank Holds'!N16</f>
        <v>0</v>
      </c>
      <c r="M15" s="5">
        <f>$E15*'Datenbank Holds'!O16</f>
        <v>0</v>
      </c>
      <c r="N15" s="5">
        <f>$E15*'Datenbank Holds'!P16</f>
        <v>0</v>
      </c>
      <c r="O15" s="5">
        <f>$E15*'Datenbank Holds'!Q16</f>
        <v>0</v>
      </c>
      <c r="P15" s="5">
        <f>$E15*'Datenbank Holds'!R16</f>
        <v>0</v>
      </c>
      <c r="Q15" s="5">
        <f>$E15*'Datenbank Holds'!S16</f>
        <v>0</v>
      </c>
      <c r="R15" s="5">
        <f>$E15*'Datenbank Holds'!T16</f>
        <v>0</v>
      </c>
      <c r="S15" s="5">
        <f>$E15*'Datenbank Holds'!U16</f>
        <v>0</v>
      </c>
      <c r="T15" s="5">
        <f>$E15*'Datenbank Holds'!V16</f>
        <v>0</v>
      </c>
      <c r="U15" s="5">
        <f>$E15*'Datenbank Holds'!W16</f>
        <v>0</v>
      </c>
      <c r="V15" s="5">
        <f>$E15*'Datenbank Holds'!X16</f>
        <v>0</v>
      </c>
      <c r="Y15">
        <f>HOLDS!G22*HOLDS!$E22</f>
        <v>0</v>
      </c>
      <c r="Z15">
        <f>HOLDS!H22*HOLDS!$E22</f>
        <v>0</v>
      </c>
      <c r="AA15">
        <f>HOLDS!I22*HOLDS!$E22</f>
        <v>0</v>
      </c>
      <c r="AB15">
        <f>HOLDS!J22*HOLDS!$E22</f>
        <v>0</v>
      </c>
      <c r="AC15">
        <f>HOLDS!K22*HOLDS!$E22</f>
        <v>0</v>
      </c>
      <c r="AD15">
        <f>HOLDS!L22*HOLDS!$E22</f>
        <v>0</v>
      </c>
      <c r="AE15">
        <f>HOLDS!M22*HOLDS!$E22</f>
        <v>0</v>
      </c>
      <c r="AF15">
        <f>HOLDS!N22*HOLDS!$E22</f>
        <v>0</v>
      </c>
      <c r="AG15">
        <f>HOLDS!O22*HOLDS!$E22</f>
        <v>0</v>
      </c>
      <c r="AH15">
        <f>HOLDS!P22*HOLDS!$E22</f>
        <v>0</v>
      </c>
      <c r="AI15">
        <f>HOLDS!Q22*HOLDS!$E22</f>
        <v>0</v>
      </c>
      <c r="AJ15">
        <f>HOLDS!R22*HOLDS!$E22</f>
        <v>0</v>
      </c>
      <c r="AK15">
        <f>HOLDS!S22*HOLDS!$E22</f>
        <v>0</v>
      </c>
      <c r="AL15">
        <f>HOLDS!T22*HOLDS!$E22</f>
        <v>0</v>
      </c>
      <c r="AM15">
        <f>HOLDS!U22*HOLDS!$E22</f>
        <v>0</v>
      </c>
      <c r="AN15">
        <f>HOLDS!V22*HOLDS!$E22</f>
        <v>0</v>
      </c>
      <c r="AO15">
        <f>HOLDS!W22*HOLDS!$E22</f>
        <v>0</v>
      </c>
      <c r="AR15">
        <f>SUM(HOLDS!G22:W22)*'Datenbank Holds'!AA16</f>
        <v>0</v>
      </c>
      <c r="AS15">
        <f>SUM(HOLDS!G22:W22)*'Datenbank Holds'!AC16</f>
        <v>0</v>
      </c>
      <c r="AV15">
        <f>SUM(HOLDS!G22:W22)*'Datenbank Holds'!AF16</f>
        <v>0</v>
      </c>
    </row>
    <row r="16" spans="2:48" ht="19.5" thickBot="1" x14ac:dyDescent="0.35">
      <c r="B16" t="str">
        <f>PROPER(VLOOKUP(C16,'Datenbank Holds'!B:AI,26,FALSE))</f>
        <v>70,21</v>
      </c>
      <c r="C16" s="100" t="s">
        <v>126</v>
      </c>
      <c r="D16" s="43" t="str">
        <f>PROPER(VLOOKUP(C16,'Datenbank Holds'!B:C,2,FALSE))</f>
        <v>Kendo Edges 2</v>
      </c>
      <c r="E16" s="1">
        <f>SUM(HOLDS!G23:W23)</f>
        <v>0</v>
      </c>
      <c r="F16" s="5">
        <f>$E16*'Datenbank Holds'!H17</f>
        <v>0</v>
      </c>
      <c r="G16" s="5">
        <f>$E16*'Datenbank Holds'!I17</f>
        <v>0</v>
      </c>
      <c r="H16" s="5">
        <f>$E16*'Datenbank Holds'!J17</f>
        <v>0</v>
      </c>
      <c r="I16" s="5">
        <f>$E16*'Datenbank Holds'!K17</f>
        <v>0</v>
      </c>
      <c r="J16" s="5">
        <f>$E16*'Datenbank Holds'!L17</f>
        <v>0</v>
      </c>
      <c r="K16" s="5">
        <f>$E16*'Datenbank Holds'!M17</f>
        <v>0</v>
      </c>
      <c r="L16" s="5">
        <f>$E16*'Datenbank Holds'!N17</f>
        <v>0</v>
      </c>
      <c r="M16" s="5">
        <f>$E16*'Datenbank Holds'!O17</f>
        <v>0</v>
      </c>
      <c r="N16" s="5">
        <f>$E16*'Datenbank Holds'!P17</f>
        <v>0</v>
      </c>
      <c r="O16" s="5">
        <f>$E16*'Datenbank Holds'!Q17</f>
        <v>0</v>
      </c>
      <c r="P16" s="5">
        <f>$E16*'Datenbank Holds'!R17</f>
        <v>0</v>
      </c>
      <c r="Q16" s="5">
        <f>$E16*'Datenbank Holds'!S17</f>
        <v>0</v>
      </c>
      <c r="R16" s="5">
        <f>$E16*'Datenbank Holds'!T17</f>
        <v>0</v>
      </c>
      <c r="S16" s="5">
        <f>$E16*'Datenbank Holds'!U17</f>
        <v>0</v>
      </c>
      <c r="T16" s="5">
        <f>$E16*'Datenbank Holds'!V17</f>
        <v>0</v>
      </c>
      <c r="U16" s="5">
        <f>$E16*'Datenbank Holds'!W17</f>
        <v>0</v>
      </c>
      <c r="V16" s="5">
        <f>$E16*'Datenbank Holds'!X17</f>
        <v>0</v>
      </c>
      <c r="Y16">
        <f>HOLDS!G23*HOLDS!$E23</f>
        <v>0</v>
      </c>
      <c r="Z16">
        <f>HOLDS!H23*HOLDS!$E23</f>
        <v>0</v>
      </c>
      <c r="AA16">
        <f>HOLDS!I23*HOLDS!$E23</f>
        <v>0</v>
      </c>
      <c r="AB16">
        <f>HOLDS!J23*HOLDS!$E23</f>
        <v>0</v>
      </c>
      <c r="AC16">
        <f>HOLDS!K23*HOLDS!$E23</f>
        <v>0</v>
      </c>
      <c r="AD16">
        <f>HOLDS!L23*HOLDS!$E23</f>
        <v>0</v>
      </c>
      <c r="AE16">
        <f>HOLDS!M23*HOLDS!$E23</f>
        <v>0</v>
      </c>
      <c r="AF16">
        <f>HOLDS!N23*HOLDS!$E23</f>
        <v>0</v>
      </c>
      <c r="AG16">
        <f>HOLDS!O23*HOLDS!$E23</f>
        <v>0</v>
      </c>
      <c r="AH16">
        <f>HOLDS!P23*HOLDS!$E23</f>
        <v>0</v>
      </c>
      <c r="AI16">
        <f>HOLDS!Q23*HOLDS!$E23</f>
        <v>0</v>
      </c>
      <c r="AJ16">
        <f>HOLDS!R23*HOLDS!$E23</f>
        <v>0</v>
      </c>
      <c r="AK16">
        <f>HOLDS!S23*HOLDS!$E23</f>
        <v>0</v>
      </c>
      <c r="AL16">
        <f>HOLDS!T23*HOLDS!$E23</f>
        <v>0</v>
      </c>
      <c r="AM16">
        <f>HOLDS!U23*HOLDS!$E23</f>
        <v>0</v>
      </c>
      <c r="AN16">
        <f>HOLDS!V23*HOLDS!$E23</f>
        <v>0</v>
      </c>
      <c r="AO16">
        <f>HOLDS!W23*HOLDS!$E23</f>
        <v>0</v>
      </c>
      <c r="AR16">
        <f>SUM(HOLDS!G23:W23)*'Datenbank Holds'!AA17</f>
        <v>0</v>
      </c>
      <c r="AS16">
        <f>SUM(HOLDS!G23:W23)*'Datenbank Holds'!AC17</f>
        <v>0</v>
      </c>
      <c r="AV16">
        <f>SUM(HOLDS!G23:W23)*'Datenbank Holds'!AF17</f>
        <v>0</v>
      </c>
    </row>
    <row r="17" spans="2:48" ht="19.5" thickBot="1" x14ac:dyDescent="0.35">
      <c r="B17" t="str">
        <f>PROPER(VLOOKUP(C17,'Datenbank Holds'!B:AI,26,FALSE))</f>
        <v>88,06</v>
      </c>
      <c r="C17" s="100" t="s">
        <v>127</v>
      </c>
      <c r="D17" s="43" t="str">
        <f>PROPER(VLOOKUP(C17,'Datenbank Holds'!B:C,2,FALSE))</f>
        <v>Kendo Crimps 1</v>
      </c>
      <c r="E17" s="1">
        <f>SUM(HOLDS!G24:W24)</f>
        <v>0</v>
      </c>
      <c r="F17" s="5">
        <f>$E17*'Datenbank Holds'!H18</f>
        <v>0</v>
      </c>
      <c r="G17" s="5">
        <f>$E17*'Datenbank Holds'!I18</f>
        <v>0</v>
      </c>
      <c r="H17" s="5">
        <f>$E17*'Datenbank Holds'!J18</f>
        <v>0</v>
      </c>
      <c r="I17" s="5">
        <f>$E17*'Datenbank Holds'!K18</f>
        <v>0</v>
      </c>
      <c r="J17" s="5">
        <f>$E17*'Datenbank Holds'!L18</f>
        <v>0</v>
      </c>
      <c r="K17" s="5">
        <f>$E17*'Datenbank Holds'!M18</f>
        <v>0</v>
      </c>
      <c r="L17" s="5">
        <f>$E17*'Datenbank Holds'!N18</f>
        <v>0</v>
      </c>
      <c r="M17" s="5">
        <f>$E17*'Datenbank Holds'!O18</f>
        <v>0</v>
      </c>
      <c r="N17" s="5">
        <f>$E17*'Datenbank Holds'!P18</f>
        <v>0</v>
      </c>
      <c r="O17" s="5">
        <f>$E17*'Datenbank Holds'!Q18</f>
        <v>0</v>
      </c>
      <c r="P17" s="5">
        <f>$E17*'Datenbank Holds'!R18</f>
        <v>0</v>
      </c>
      <c r="Q17" s="5">
        <f>$E17*'Datenbank Holds'!S18</f>
        <v>0</v>
      </c>
      <c r="R17" s="5">
        <f>$E17*'Datenbank Holds'!T18</f>
        <v>0</v>
      </c>
      <c r="S17" s="5">
        <f>$E17*'Datenbank Holds'!U18</f>
        <v>0</v>
      </c>
      <c r="T17" s="5">
        <f>$E17*'Datenbank Holds'!V18</f>
        <v>0</v>
      </c>
      <c r="U17" s="5">
        <f>$E17*'Datenbank Holds'!W18</f>
        <v>0</v>
      </c>
      <c r="V17" s="5">
        <f>$E17*'Datenbank Holds'!X18</f>
        <v>0</v>
      </c>
      <c r="Y17">
        <f>HOLDS!G24*HOLDS!$E24</f>
        <v>0</v>
      </c>
      <c r="Z17">
        <f>HOLDS!H24*HOLDS!$E24</f>
        <v>0</v>
      </c>
      <c r="AA17">
        <f>HOLDS!I24*HOLDS!$E24</f>
        <v>0</v>
      </c>
      <c r="AB17">
        <f>HOLDS!J24*HOLDS!$E24</f>
        <v>0</v>
      </c>
      <c r="AC17">
        <f>HOLDS!K24*HOLDS!$E24</f>
        <v>0</v>
      </c>
      <c r="AD17">
        <f>HOLDS!L24*HOLDS!$E24</f>
        <v>0</v>
      </c>
      <c r="AE17">
        <f>HOLDS!M24*HOLDS!$E24</f>
        <v>0</v>
      </c>
      <c r="AF17">
        <f>HOLDS!N24*HOLDS!$E24</f>
        <v>0</v>
      </c>
      <c r="AG17">
        <f>HOLDS!O24*HOLDS!$E24</f>
        <v>0</v>
      </c>
      <c r="AH17">
        <f>HOLDS!P24*HOLDS!$E24</f>
        <v>0</v>
      </c>
      <c r="AI17">
        <f>HOLDS!Q24*HOLDS!$E24</f>
        <v>0</v>
      </c>
      <c r="AJ17">
        <f>HOLDS!R24*HOLDS!$E24</f>
        <v>0</v>
      </c>
      <c r="AK17">
        <f>HOLDS!S24*HOLDS!$E24</f>
        <v>0</v>
      </c>
      <c r="AL17">
        <f>HOLDS!T24*HOLDS!$E24</f>
        <v>0</v>
      </c>
      <c r="AM17">
        <f>HOLDS!U24*HOLDS!$E24</f>
        <v>0</v>
      </c>
      <c r="AN17">
        <f>HOLDS!V24*HOLDS!$E24</f>
        <v>0</v>
      </c>
      <c r="AO17">
        <f>HOLDS!W24*HOLDS!$E24</f>
        <v>0</v>
      </c>
      <c r="AR17">
        <f>SUM(HOLDS!G24:W24)*'Datenbank Holds'!AA18</f>
        <v>0</v>
      </c>
      <c r="AS17">
        <f>SUM(HOLDS!G24:W24)*'Datenbank Holds'!AC18</f>
        <v>0</v>
      </c>
      <c r="AV17">
        <f>SUM(HOLDS!G24:W24)*'Datenbank Holds'!AF18</f>
        <v>0</v>
      </c>
    </row>
    <row r="18" spans="2:48" ht="19.5" thickBot="1" x14ac:dyDescent="0.35">
      <c r="B18" t="str">
        <f>PROPER(VLOOKUP(C18,'Datenbank Holds'!B:AI,26,FALSE))</f>
        <v>58,31</v>
      </c>
      <c r="C18" s="100" t="s">
        <v>128</v>
      </c>
      <c r="D18" s="43" t="str">
        <f>PROPER(VLOOKUP(C18,'Datenbank Holds'!B:C,2,FALSE))</f>
        <v>Kendo Plates 1</v>
      </c>
      <c r="E18" s="1">
        <f>SUM(HOLDS!G25:W25)</f>
        <v>0</v>
      </c>
      <c r="F18" s="5">
        <f>$E18*'Datenbank Holds'!H19</f>
        <v>0</v>
      </c>
      <c r="G18" s="5">
        <f>$E18*'Datenbank Holds'!I19</f>
        <v>0</v>
      </c>
      <c r="H18" s="5">
        <f>$E18*'Datenbank Holds'!J19</f>
        <v>0</v>
      </c>
      <c r="I18" s="5">
        <f>$E18*'Datenbank Holds'!K19</f>
        <v>0</v>
      </c>
      <c r="J18" s="5">
        <f>$E18*'Datenbank Holds'!L19</f>
        <v>0</v>
      </c>
      <c r="K18" s="5">
        <f>$E18*'Datenbank Holds'!M19</f>
        <v>0</v>
      </c>
      <c r="L18" s="5">
        <f>$E18*'Datenbank Holds'!N19</f>
        <v>0</v>
      </c>
      <c r="M18" s="5">
        <f>$E18*'Datenbank Holds'!O19</f>
        <v>0</v>
      </c>
      <c r="N18" s="5">
        <f>$E18*'Datenbank Holds'!P19</f>
        <v>0</v>
      </c>
      <c r="O18" s="5">
        <f>$E18*'Datenbank Holds'!Q19</f>
        <v>0</v>
      </c>
      <c r="P18" s="5">
        <f>$E18*'Datenbank Holds'!R19</f>
        <v>0</v>
      </c>
      <c r="Q18" s="5">
        <f>$E18*'Datenbank Holds'!S19</f>
        <v>0</v>
      </c>
      <c r="R18" s="5">
        <f>$E18*'Datenbank Holds'!T19</f>
        <v>0</v>
      </c>
      <c r="S18" s="5">
        <f>$E18*'Datenbank Holds'!U19</f>
        <v>0</v>
      </c>
      <c r="T18" s="5">
        <f>$E18*'Datenbank Holds'!V19</f>
        <v>0</v>
      </c>
      <c r="U18" s="5">
        <f>$E18*'Datenbank Holds'!W19</f>
        <v>0</v>
      </c>
      <c r="V18" s="5">
        <f>$E18*'Datenbank Holds'!X19</f>
        <v>0</v>
      </c>
      <c r="Y18">
        <f>HOLDS!G25*HOLDS!$E25</f>
        <v>0</v>
      </c>
      <c r="Z18">
        <f>HOLDS!H25*HOLDS!$E25</f>
        <v>0</v>
      </c>
      <c r="AA18">
        <f>HOLDS!I25*HOLDS!$E25</f>
        <v>0</v>
      </c>
      <c r="AB18">
        <f>HOLDS!J25*HOLDS!$E25</f>
        <v>0</v>
      </c>
      <c r="AC18">
        <f>HOLDS!K25*HOLDS!$E25</f>
        <v>0</v>
      </c>
      <c r="AD18">
        <f>HOLDS!L25*HOLDS!$E25</f>
        <v>0</v>
      </c>
      <c r="AE18">
        <f>HOLDS!M25*HOLDS!$E25</f>
        <v>0</v>
      </c>
      <c r="AF18">
        <f>HOLDS!N25*HOLDS!$E25</f>
        <v>0</v>
      </c>
      <c r="AG18">
        <f>HOLDS!O25*HOLDS!$E25</f>
        <v>0</v>
      </c>
      <c r="AH18">
        <f>HOLDS!P25*HOLDS!$E25</f>
        <v>0</v>
      </c>
      <c r="AI18">
        <f>HOLDS!Q25*HOLDS!$E25</f>
        <v>0</v>
      </c>
      <c r="AJ18">
        <f>HOLDS!R25*HOLDS!$E25</f>
        <v>0</v>
      </c>
      <c r="AK18">
        <f>HOLDS!S25*HOLDS!$E25</f>
        <v>0</v>
      </c>
      <c r="AL18">
        <f>HOLDS!T25*HOLDS!$E25</f>
        <v>0</v>
      </c>
      <c r="AM18">
        <f>HOLDS!U25*HOLDS!$E25</f>
        <v>0</v>
      </c>
      <c r="AN18">
        <f>HOLDS!V25*HOLDS!$E25</f>
        <v>0</v>
      </c>
      <c r="AO18">
        <f>HOLDS!W25*HOLDS!$E25</f>
        <v>0</v>
      </c>
      <c r="AR18">
        <f>SUM(HOLDS!G25:W25)*'Datenbank Holds'!AA19</f>
        <v>0</v>
      </c>
      <c r="AS18">
        <f>SUM(HOLDS!G25:W25)*'Datenbank Holds'!AC19</f>
        <v>0</v>
      </c>
      <c r="AV18">
        <f>SUM(HOLDS!G25:W25)*'Datenbank Holds'!AF19</f>
        <v>0</v>
      </c>
    </row>
    <row r="19" spans="2:48" ht="19.5" thickBot="1" x14ac:dyDescent="0.35">
      <c r="B19" t="str">
        <f>PROPER(VLOOKUP(C19,'Datenbank Holds'!B:AI,26,FALSE))</f>
        <v>46,41</v>
      </c>
      <c r="C19" s="100" t="s">
        <v>129</v>
      </c>
      <c r="D19" s="43" t="str">
        <f>PROPER(VLOOKUP(C19,'Datenbank Holds'!B:C,2,FALSE))</f>
        <v xml:space="preserve">Kendo Edges </v>
      </c>
      <c r="E19" s="1">
        <f>SUM(HOLDS!G26:W26)</f>
        <v>0</v>
      </c>
      <c r="F19" s="5">
        <f>$E19*'Datenbank Holds'!H20</f>
        <v>0</v>
      </c>
      <c r="G19" s="5">
        <f>$E19*'Datenbank Holds'!I20</f>
        <v>0</v>
      </c>
      <c r="H19" s="5">
        <f>$E19*'Datenbank Holds'!J20</f>
        <v>0</v>
      </c>
      <c r="I19" s="5">
        <f>$E19*'Datenbank Holds'!K20</f>
        <v>0</v>
      </c>
      <c r="J19" s="5">
        <f>$E19*'Datenbank Holds'!L20</f>
        <v>0</v>
      </c>
      <c r="K19" s="5">
        <f>$E19*'Datenbank Holds'!M20</f>
        <v>0</v>
      </c>
      <c r="L19" s="5">
        <f>$E19*'Datenbank Holds'!N20</f>
        <v>0</v>
      </c>
      <c r="M19" s="5">
        <f>$E19*'Datenbank Holds'!O20</f>
        <v>0</v>
      </c>
      <c r="N19" s="5">
        <f>$E19*'Datenbank Holds'!P20</f>
        <v>0</v>
      </c>
      <c r="O19" s="5">
        <f>$E19*'Datenbank Holds'!Q20</f>
        <v>0</v>
      </c>
      <c r="P19" s="5">
        <f>$E19*'Datenbank Holds'!R20</f>
        <v>0</v>
      </c>
      <c r="Q19" s="5">
        <f>$E19*'Datenbank Holds'!S20</f>
        <v>0</v>
      </c>
      <c r="R19" s="5">
        <f>$E19*'Datenbank Holds'!T20</f>
        <v>0</v>
      </c>
      <c r="S19" s="5">
        <f>$E19*'Datenbank Holds'!U20</f>
        <v>0</v>
      </c>
      <c r="T19" s="5">
        <f>$E19*'Datenbank Holds'!V20</f>
        <v>0</v>
      </c>
      <c r="U19" s="5">
        <f>$E19*'Datenbank Holds'!W20</f>
        <v>0</v>
      </c>
      <c r="V19" s="5">
        <f>$E19*'Datenbank Holds'!X20</f>
        <v>0</v>
      </c>
      <c r="Y19">
        <f>HOLDS!G26*HOLDS!$E26</f>
        <v>0</v>
      </c>
      <c r="Z19">
        <f>HOLDS!H26*HOLDS!$E26</f>
        <v>0</v>
      </c>
      <c r="AA19">
        <f>HOLDS!I26*HOLDS!$E26</f>
        <v>0</v>
      </c>
      <c r="AB19">
        <f>HOLDS!J26*HOLDS!$E26</f>
        <v>0</v>
      </c>
      <c r="AC19">
        <f>HOLDS!K26*HOLDS!$E26</f>
        <v>0</v>
      </c>
      <c r="AD19">
        <f>HOLDS!L26*HOLDS!$E26</f>
        <v>0</v>
      </c>
      <c r="AE19">
        <f>HOLDS!M26*HOLDS!$E26</f>
        <v>0</v>
      </c>
      <c r="AF19">
        <f>HOLDS!N26*HOLDS!$E26</f>
        <v>0</v>
      </c>
      <c r="AG19">
        <f>HOLDS!O26*HOLDS!$E26</f>
        <v>0</v>
      </c>
      <c r="AH19">
        <f>HOLDS!P26*HOLDS!$E26</f>
        <v>0</v>
      </c>
      <c r="AI19">
        <f>HOLDS!Q26*HOLDS!$E26</f>
        <v>0</v>
      </c>
      <c r="AJ19">
        <f>HOLDS!R26*HOLDS!$E26</f>
        <v>0</v>
      </c>
      <c r="AK19">
        <f>HOLDS!S26*HOLDS!$E26</f>
        <v>0</v>
      </c>
      <c r="AL19">
        <f>HOLDS!T26*HOLDS!$E26</f>
        <v>0</v>
      </c>
      <c r="AM19">
        <f>HOLDS!U26*HOLDS!$E26</f>
        <v>0</v>
      </c>
      <c r="AN19">
        <f>HOLDS!V26*HOLDS!$E26</f>
        <v>0</v>
      </c>
      <c r="AO19">
        <f>HOLDS!W26*HOLDS!$E26</f>
        <v>0</v>
      </c>
      <c r="AR19">
        <f>SUM(HOLDS!G26:W26)*'Datenbank Holds'!AA20</f>
        <v>0</v>
      </c>
      <c r="AS19">
        <f>SUM(HOLDS!G26:W26)*'Datenbank Holds'!AC20</f>
        <v>0</v>
      </c>
      <c r="AV19">
        <f>SUM(HOLDS!G26:W26)*'Datenbank Holds'!AF20</f>
        <v>0</v>
      </c>
    </row>
    <row r="20" spans="2:48" ht="19.5" thickBot="1" x14ac:dyDescent="0.35">
      <c r="B20" t="str">
        <f>PROPER(VLOOKUP(C20,'Datenbank Holds'!B:AI,26,FALSE))</f>
        <v>49,98</v>
      </c>
      <c r="C20" s="100" t="s">
        <v>130</v>
      </c>
      <c r="D20" s="43" t="str">
        <f>PROPER(VLOOKUP(C20,'Datenbank Holds'!B:C,2,FALSE))</f>
        <v>Kendo Footholds 1</v>
      </c>
      <c r="E20" s="1">
        <f>SUM(HOLDS!G27:W27)</f>
        <v>0</v>
      </c>
      <c r="F20" s="5">
        <f>$E20*'Datenbank Holds'!H21</f>
        <v>0</v>
      </c>
      <c r="G20" s="5">
        <f>$E20*'Datenbank Holds'!I21</f>
        <v>0</v>
      </c>
      <c r="H20" s="5">
        <f>$E20*'Datenbank Holds'!J21</f>
        <v>0</v>
      </c>
      <c r="I20" s="5">
        <f>$E20*'Datenbank Holds'!K21</f>
        <v>0</v>
      </c>
      <c r="J20" s="5">
        <f>$E20*'Datenbank Holds'!L21</f>
        <v>0</v>
      </c>
      <c r="K20" s="5">
        <f>$E20*'Datenbank Holds'!M21</f>
        <v>0</v>
      </c>
      <c r="L20" s="5">
        <f>$E20*'Datenbank Holds'!N21</f>
        <v>0</v>
      </c>
      <c r="M20" s="5">
        <f>$E20*'Datenbank Holds'!O21</f>
        <v>0</v>
      </c>
      <c r="N20" s="5">
        <f>$E20*'Datenbank Holds'!P21</f>
        <v>0</v>
      </c>
      <c r="O20" s="5">
        <f>$E20*'Datenbank Holds'!Q21</f>
        <v>0</v>
      </c>
      <c r="P20" s="5">
        <f>$E20*'Datenbank Holds'!R21</f>
        <v>0</v>
      </c>
      <c r="Q20" s="5">
        <f>$E20*'Datenbank Holds'!S21</f>
        <v>0</v>
      </c>
      <c r="R20" s="5">
        <f>$E20*'Datenbank Holds'!T21</f>
        <v>0</v>
      </c>
      <c r="S20" s="5">
        <f>$E20*'Datenbank Holds'!U21</f>
        <v>0</v>
      </c>
      <c r="T20" s="5">
        <f>$E20*'Datenbank Holds'!V21</f>
        <v>0</v>
      </c>
      <c r="U20" s="5">
        <f>$E20*'Datenbank Holds'!W21</f>
        <v>0</v>
      </c>
      <c r="V20" s="5">
        <f>$E20*'Datenbank Holds'!X21</f>
        <v>0</v>
      </c>
      <c r="Y20">
        <f>HOLDS!G27*HOLDS!$E27</f>
        <v>0</v>
      </c>
      <c r="Z20">
        <f>HOLDS!H27*HOLDS!$E27</f>
        <v>0</v>
      </c>
      <c r="AA20">
        <f>HOLDS!I27*HOLDS!$E27</f>
        <v>0</v>
      </c>
      <c r="AB20">
        <f>HOLDS!J27*HOLDS!$E27</f>
        <v>0</v>
      </c>
      <c r="AC20">
        <f>HOLDS!K27*HOLDS!$E27</f>
        <v>0</v>
      </c>
      <c r="AD20">
        <f>HOLDS!L27*HOLDS!$E27</f>
        <v>0</v>
      </c>
      <c r="AE20">
        <f>HOLDS!M27*HOLDS!$E27</f>
        <v>0</v>
      </c>
      <c r="AF20">
        <f>HOLDS!N27*HOLDS!$E27</f>
        <v>0</v>
      </c>
      <c r="AG20">
        <f>HOLDS!O27*HOLDS!$E27</f>
        <v>0</v>
      </c>
      <c r="AH20">
        <f>HOLDS!P27*HOLDS!$E27</f>
        <v>0</v>
      </c>
      <c r="AI20">
        <f>HOLDS!Q27*HOLDS!$E27</f>
        <v>0</v>
      </c>
      <c r="AJ20">
        <f>HOLDS!R27*HOLDS!$E27</f>
        <v>0</v>
      </c>
      <c r="AK20">
        <f>HOLDS!S27*HOLDS!$E27</f>
        <v>0</v>
      </c>
      <c r="AL20">
        <f>HOLDS!T27*HOLDS!$E27</f>
        <v>0</v>
      </c>
      <c r="AM20">
        <f>HOLDS!U27*HOLDS!$E27</f>
        <v>0</v>
      </c>
      <c r="AN20">
        <f>HOLDS!V27*HOLDS!$E27</f>
        <v>0</v>
      </c>
      <c r="AO20">
        <f>HOLDS!W27*HOLDS!$E27</f>
        <v>0</v>
      </c>
      <c r="AR20">
        <f>SUM(HOLDS!G27:W27)*'Datenbank Holds'!AA21</f>
        <v>0</v>
      </c>
      <c r="AS20">
        <f>SUM(HOLDS!G27:W27)*'Datenbank Holds'!AC21</f>
        <v>0</v>
      </c>
      <c r="AV20">
        <f>SUM(HOLDS!G27:W27)*'Datenbank Holds'!AF21</f>
        <v>0</v>
      </c>
    </row>
    <row r="21" spans="2:48" ht="19.5" thickBot="1" x14ac:dyDescent="0.35">
      <c r="B21" t="str">
        <f>PROPER(VLOOKUP(C21,'Datenbank Holds'!B:AI,26,FALSE))</f>
        <v>91,63</v>
      </c>
      <c r="C21" s="100" t="s">
        <v>131</v>
      </c>
      <c r="D21" s="43" t="str">
        <f>PROPER(VLOOKUP(C21,'Datenbank Holds'!B:C,2,FALSE))</f>
        <v>Kendo Footholds 2</v>
      </c>
      <c r="E21" s="1">
        <f>SUM(HOLDS!G28:W28)</f>
        <v>0</v>
      </c>
      <c r="F21" s="5">
        <f>$E21*'Datenbank Holds'!H22</f>
        <v>0</v>
      </c>
      <c r="G21" s="5">
        <f>$E21*'Datenbank Holds'!I22</f>
        <v>0</v>
      </c>
      <c r="H21" s="5">
        <f>$E21*'Datenbank Holds'!J22</f>
        <v>0</v>
      </c>
      <c r="I21" s="5">
        <f>$E21*'Datenbank Holds'!K22</f>
        <v>0</v>
      </c>
      <c r="J21" s="5">
        <f>$E21*'Datenbank Holds'!L22</f>
        <v>0</v>
      </c>
      <c r="K21" s="5">
        <f>$E21*'Datenbank Holds'!M22</f>
        <v>0</v>
      </c>
      <c r="L21" s="5">
        <f>$E21*'Datenbank Holds'!N22</f>
        <v>0</v>
      </c>
      <c r="M21" s="5">
        <f>$E21*'Datenbank Holds'!O22</f>
        <v>0</v>
      </c>
      <c r="N21" s="5">
        <f>$E21*'Datenbank Holds'!P22</f>
        <v>0</v>
      </c>
      <c r="O21" s="5">
        <f>$E21*'Datenbank Holds'!Q22</f>
        <v>0</v>
      </c>
      <c r="P21" s="5">
        <f>$E21*'Datenbank Holds'!R22</f>
        <v>0</v>
      </c>
      <c r="Q21" s="5">
        <f>$E21*'Datenbank Holds'!S22</f>
        <v>0</v>
      </c>
      <c r="R21" s="5">
        <f>$E21*'Datenbank Holds'!T22</f>
        <v>0</v>
      </c>
      <c r="S21" s="5">
        <f>$E21*'Datenbank Holds'!U22</f>
        <v>0</v>
      </c>
      <c r="T21" s="5">
        <f>$E21*'Datenbank Holds'!V22</f>
        <v>0</v>
      </c>
      <c r="U21" s="5">
        <f>$E21*'Datenbank Holds'!W22</f>
        <v>0</v>
      </c>
      <c r="V21" s="5">
        <f>$E21*'Datenbank Holds'!X22</f>
        <v>0</v>
      </c>
      <c r="Y21">
        <f>HOLDS!G28*HOLDS!$E28</f>
        <v>0</v>
      </c>
      <c r="Z21">
        <f>HOLDS!H28*HOLDS!$E28</f>
        <v>0</v>
      </c>
      <c r="AA21">
        <f>HOLDS!I28*HOLDS!$E28</f>
        <v>0</v>
      </c>
      <c r="AB21">
        <f>HOLDS!J28*HOLDS!$E28</f>
        <v>0</v>
      </c>
      <c r="AC21">
        <f>HOLDS!K28*HOLDS!$E28</f>
        <v>0</v>
      </c>
      <c r="AD21">
        <f>HOLDS!L28*HOLDS!$E28</f>
        <v>0</v>
      </c>
      <c r="AE21">
        <f>HOLDS!M28*HOLDS!$E28</f>
        <v>0</v>
      </c>
      <c r="AF21">
        <f>HOLDS!N28*HOLDS!$E28</f>
        <v>0</v>
      </c>
      <c r="AG21">
        <f>HOLDS!O28*HOLDS!$E28</f>
        <v>0</v>
      </c>
      <c r="AH21">
        <f>HOLDS!P28*HOLDS!$E28</f>
        <v>0</v>
      </c>
      <c r="AI21">
        <f>HOLDS!Q28*HOLDS!$E28</f>
        <v>0</v>
      </c>
      <c r="AJ21">
        <f>HOLDS!R28*HOLDS!$E28</f>
        <v>0</v>
      </c>
      <c r="AK21">
        <f>HOLDS!S28*HOLDS!$E28</f>
        <v>0</v>
      </c>
      <c r="AL21">
        <f>HOLDS!T28*HOLDS!$E28</f>
        <v>0</v>
      </c>
      <c r="AM21">
        <f>HOLDS!U28*HOLDS!$E28</f>
        <v>0</v>
      </c>
      <c r="AN21">
        <f>HOLDS!V28*HOLDS!$E28</f>
        <v>0</v>
      </c>
      <c r="AO21">
        <f>HOLDS!W28*HOLDS!$E28</f>
        <v>0</v>
      </c>
      <c r="AR21">
        <f>SUM(HOLDS!G28:W28)*'Datenbank Holds'!AA22</f>
        <v>0</v>
      </c>
      <c r="AS21">
        <f>SUM(HOLDS!G28:W28)*'Datenbank Holds'!AC22</f>
        <v>0</v>
      </c>
      <c r="AV21">
        <f>SUM(HOLDS!G28:W28)*'Datenbank Holds'!AF22</f>
        <v>0</v>
      </c>
    </row>
    <row r="22" spans="2:48" ht="19.5" thickBot="1" x14ac:dyDescent="0.35">
      <c r="B22" t="str">
        <f>PROPER(VLOOKUP(C22,'Datenbank Holds'!B:AI,26,FALSE))</f>
        <v>46,41</v>
      </c>
      <c r="C22" s="100" t="s">
        <v>132</v>
      </c>
      <c r="D22" s="43" t="str">
        <f>PROPER(VLOOKUP(C22,'Datenbank Holds'!B:C,2,FALSE))</f>
        <v>Kendo Edges 3</v>
      </c>
      <c r="E22" s="1">
        <f>SUM(HOLDS!G29:W29)</f>
        <v>0</v>
      </c>
      <c r="F22" s="5">
        <f>$E22*'Datenbank Holds'!H23</f>
        <v>0</v>
      </c>
      <c r="G22" s="5">
        <f>$E22*'Datenbank Holds'!I23</f>
        <v>0</v>
      </c>
      <c r="H22" s="5">
        <f>$E22*'Datenbank Holds'!J23</f>
        <v>0</v>
      </c>
      <c r="I22" s="5">
        <f>$E22*'Datenbank Holds'!K23</f>
        <v>0</v>
      </c>
      <c r="J22" s="5">
        <f>$E22*'Datenbank Holds'!L23</f>
        <v>0</v>
      </c>
      <c r="K22" s="5">
        <f>$E22*'Datenbank Holds'!M23</f>
        <v>0</v>
      </c>
      <c r="L22" s="5">
        <f>$E22*'Datenbank Holds'!N23</f>
        <v>0</v>
      </c>
      <c r="M22" s="5">
        <f>$E22*'Datenbank Holds'!O23</f>
        <v>0</v>
      </c>
      <c r="N22" s="5">
        <f>$E22*'Datenbank Holds'!P23</f>
        <v>0</v>
      </c>
      <c r="O22" s="5">
        <f>$E22*'Datenbank Holds'!Q23</f>
        <v>0</v>
      </c>
      <c r="P22" s="5">
        <f>$E22*'Datenbank Holds'!R23</f>
        <v>0</v>
      </c>
      <c r="Q22" s="5">
        <f>$E22*'Datenbank Holds'!S23</f>
        <v>0</v>
      </c>
      <c r="R22" s="5">
        <f>$E22*'Datenbank Holds'!T23</f>
        <v>0</v>
      </c>
      <c r="S22" s="5">
        <f>$E22*'Datenbank Holds'!U23</f>
        <v>0</v>
      </c>
      <c r="T22" s="5">
        <f>$E22*'Datenbank Holds'!V23</f>
        <v>0</v>
      </c>
      <c r="U22" s="5">
        <f>$E22*'Datenbank Holds'!W23</f>
        <v>0</v>
      </c>
      <c r="V22" s="5">
        <f>$E22*'Datenbank Holds'!X23</f>
        <v>0</v>
      </c>
      <c r="Y22">
        <f>HOLDS!G29*HOLDS!$E29</f>
        <v>0</v>
      </c>
      <c r="Z22">
        <f>HOLDS!H29*HOLDS!$E29</f>
        <v>0</v>
      </c>
      <c r="AA22">
        <f>HOLDS!I29*HOLDS!$E29</f>
        <v>0</v>
      </c>
      <c r="AB22">
        <f>HOLDS!J29*HOLDS!$E29</f>
        <v>0</v>
      </c>
      <c r="AC22">
        <f>HOLDS!K29*HOLDS!$E29</f>
        <v>0</v>
      </c>
      <c r="AD22">
        <f>HOLDS!L29*HOLDS!$E29</f>
        <v>0</v>
      </c>
      <c r="AE22">
        <f>HOLDS!M29*HOLDS!$E29</f>
        <v>0</v>
      </c>
      <c r="AF22">
        <f>HOLDS!N29*HOLDS!$E29</f>
        <v>0</v>
      </c>
      <c r="AG22">
        <f>HOLDS!O29*HOLDS!$E29</f>
        <v>0</v>
      </c>
      <c r="AH22">
        <f>HOLDS!P29*HOLDS!$E29</f>
        <v>0</v>
      </c>
      <c r="AI22">
        <f>HOLDS!Q29*HOLDS!$E29</f>
        <v>0</v>
      </c>
      <c r="AJ22">
        <f>HOLDS!R29*HOLDS!$E29</f>
        <v>0</v>
      </c>
      <c r="AK22">
        <f>HOLDS!S29*HOLDS!$E29</f>
        <v>0</v>
      </c>
      <c r="AL22">
        <f>HOLDS!T29*HOLDS!$E29</f>
        <v>0</v>
      </c>
      <c r="AM22">
        <f>HOLDS!U29*HOLDS!$E29</f>
        <v>0</v>
      </c>
      <c r="AN22">
        <f>HOLDS!V29*HOLDS!$E29</f>
        <v>0</v>
      </c>
      <c r="AO22">
        <f>HOLDS!W29*HOLDS!$E29</f>
        <v>0</v>
      </c>
      <c r="AR22">
        <f>SUM(HOLDS!G29:W29)*'Datenbank Holds'!AA23</f>
        <v>0</v>
      </c>
      <c r="AS22">
        <f>SUM(HOLDS!G29:W29)*'Datenbank Holds'!AC23</f>
        <v>0</v>
      </c>
      <c r="AV22">
        <f>SUM(HOLDS!G29:W29)*'Datenbank Holds'!AF23</f>
        <v>0</v>
      </c>
    </row>
    <row r="23" spans="2:48" ht="19.5" thickBot="1" x14ac:dyDescent="0.35">
      <c r="B23" t="str">
        <f>PROPER(VLOOKUP(C23,'Datenbank Holds'!B:AI,26,FALSE))</f>
        <v>41,65</v>
      </c>
      <c r="C23" s="100" t="s">
        <v>133</v>
      </c>
      <c r="D23" s="43" t="str">
        <f>PROPER(VLOOKUP(C23,'Datenbank Holds'!B:C,2,FALSE))</f>
        <v>*New* Kendo Crimps 2</v>
      </c>
      <c r="E23" s="1">
        <f>SUM(HOLDS!G30:W30)</f>
        <v>0</v>
      </c>
      <c r="F23" s="5">
        <f>$E23*'Datenbank Holds'!H24</f>
        <v>0</v>
      </c>
      <c r="G23" s="5">
        <f>$E23*'Datenbank Holds'!I24</f>
        <v>0</v>
      </c>
      <c r="H23" s="5">
        <f>$E23*'Datenbank Holds'!J24</f>
        <v>0</v>
      </c>
      <c r="I23" s="5">
        <f>$E23*'Datenbank Holds'!K24</f>
        <v>0</v>
      </c>
      <c r="J23" s="5">
        <f>$E23*'Datenbank Holds'!L24</f>
        <v>0</v>
      </c>
      <c r="K23" s="5">
        <f>$E23*'Datenbank Holds'!M24</f>
        <v>0</v>
      </c>
      <c r="L23" s="5">
        <f>$E23*'Datenbank Holds'!N24</f>
        <v>0</v>
      </c>
      <c r="M23" s="5">
        <f>$E23*'Datenbank Holds'!O24</f>
        <v>0</v>
      </c>
      <c r="N23" s="5">
        <f>$E23*'Datenbank Holds'!P24</f>
        <v>0</v>
      </c>
      <c r="O23" s="5">
        <f>$E23*'Datenbank Holds'!Q24</f>
        <v>0</v>
      </c>
      <c r="P23" s="5">
        <f>$E23*'Datenbank Holds'!R24</f>
        <v>0</v>
      </c>
      <c r="Q23" s="5">
        <f>$E23*'Datenbank Holds'!S24</f>
        <v>0</v>
      </c>
      <c r="R23" s="5">
        <f>$E23*'Datenbank Holds'!T24</f>
        <v>0</v>
      </c>
      <c r="S23" s="5">
        <f>$E23*'Datenbank Holds'!U24</f>
        <v>0</v>
      </c>
      <c r="T23" s="5">
        <f>$E23*'Datenbank Holds'!V24</f>
        <v>0</v>
      </c>
      <c r="U23" s="5">
        <f>$E23*'Datenbank Holds'!W24</f>
        <v>0</v>
      </c>
      <c r="V23" s="5">
        <f>$E23*'Datenbank Holds'!X24</f>
        <v>0</v>
      </c>
      <c r="Y23">
        <f>HOLDS!G30*HOLDS!$E30</f>
        <v>0</v>
      </c>
      <c r="Z23">
        <f>HOLDS!H30*HOLDS!$E30</f>
        <v>0</v>
      </c>
      <c r="AA23">
        <f>HOLDS!I30*HOLDS!$E30</f>
        <v>0</v>
      </c>
      <c r="AB23">
        <f>HOLDS!J30*HOLDS!$E30</f>
        <v>0</v>
      </c>
      <c r="AC23">
        <f>HOLDS!K30*HOLDS!$E30</f>
        <v>0</v>
      </c>
      <c r="AD23">
        <f>HOLDS!L30*HOLDS!$E30</f>
        <v>0</v>
      </c>
      <c r="AE23">
        <f>HOLDS!M30*HOLDS!$E30</f>
        <v>0</v>
      </c>
      <c r="AF23">
        <f>HOLDS!N30*HOLDS!$E30</f>
        <v>0</v>
      </c>
      <c r="AG23">
        <f>HOLDS!O30*HOLDS!$E30</f>
        <v>0</v>
      </c>
      <c r="AH23">
        <f>HOLDS!P30*HOLDS!$E30</f>
        <v>0</v>
      </c>
      <c r="AI23">
        <f>HOLDS!Q30*HOLDS!$E30</f>
        <v>0</v>
      </c>
      <c r="AJ23">
        <f>HOLDS!R30*HOLDS!$E30</f>
        <v>0</v>
      </c>
      <c r="AK23">
        <f>HOLDS!S30*HOLDS!$E30</f>
        <v>0</v>
      </c>
      <c r="AL23">
        <f>HOLDS!T30*HOLDS!$E30</f>
        <v>0</v>
      </c>
      <c r="AM23">
        <f>HOLDS!U30*HOLDS!$E30</f>
        <v>0</v>
      </c>
      <c r="AN23">
        <f>HOLDS!V30*HOLDS!$E30</f>
        <v>0</v>
      </c>
      <c r="AO23">
        <f>HOLDS!W30*HOLDS!$E30</f>
        <v>0</v>
      </c>
      <c r="AR23">
        <f>SUM(HOLDS!G30:W30)*'Datenbank Holds'!AA24</f>
        <v>0</v>
      </c>
      <c r="AS23">
        <f>SUM(HOLDS!G30:W30)*'Datenbank Holds'!AC24</f>
        <v>0</v>
      </c>
      <c r="AV23">
        <f>SUM(HOLDS!G30:W30)*'Datenbank Holds'!AF24</f>
        <v>0</v>
      </c>
    </row>
    <row r="24" spans="2:48" ht="16.5" thickBot="1" x14ac:dyDescent="0.3"/>
    <row r="25" spans="2:48" ht="16.5" thickBot="1" x14ac:dyDescent="0.3">
      <c r="C25" s="27" t="s">
        <v>22</v>
      </c>
      <c r="D25" s="28"/>
      <c r="E25" s="28"/>
      <c r="F25" s="28">
        <f t="shared" ref="F25:V25" si="0">SUM(F3:F23)</f>
        <v>0</v>
      </c>
      <c r="G25" s="28">
        <f t="shared" si="0"/>
        <v>0</v>
      </c>
      <c r="H25" s="28">
        <f t="shared" si="0"/>
        <v>0</v>
      </c>
      <c r="I25" s="28">
        <f t="shared" si="0"/>
        <v>0</v>
      </c>
      <c r="J25" s="28">
        <f t="shared" si="0"/>
        <v>0</v>
      </c>
      <c r="K25" s="28">
        <f t="shared" si="0"/>
        <v>0</v>
      </c>
      <c r="L25" s="28">
        <f t="shared" si="0"/>
        <v>0</v>
      </c>
      <c r="M25" s="28">
        <f t="shared" si="0"/>
        <v>0</v>
      </c>
      <c r="N25" s="28">
        <f t="shared" si="0"/>
        <v>0</v>
      </c>
      <c r="O25" s="28">
        <f t="shared" si="0"/>
        <v>0</v>
      </c>
      <c r="P25" s="28">
        <f t="shared" si="0"/>
        <v>0</v>
      </c>
      <c r="Q25" s="28">
        <f t="shared" si="0"/>
        <v>0</v>
      </c>
      <c r="R25" s="28">
        <f t="shared" si="0"/>
        <v>0</v>
      </c>
      <c r="S25" s="28">
        <f t="shared" si="0"/>
        <v>0</v>
      </c>
      <c r="T25" s="28">
        <f t="shared" si="0"/>
        <v>0</v>
      </c>
      <c r="U25" s="28">
        <f t="shared" si="0"/>
        <v>0</v>
      </c>
      <c r="V25" s="28">
        <f t="shared" si="0"/>
        <v>0</v>
      </c>
      <c r="W25" s="28"/>
      <c r="X25" s="28"/>
      <c r="Y25" s="28">
        <f t="shared" ref="Y25:AO25" si="1">SUM(Y3:Y23)</f>
        <v>0</v>
      </c>
      <c r="Z25" s="28">
        <f t="shared" si="1"/>
        <v>0</v>
      </c>
      <c r="AA25" s="28">
        <f t="shared" si="1"/>
        <v>0</v>
      </c>
      <c r="AB25" s="28">
        <f t="shared" si="1"/>
        <v>0</v>
      </c>
      <c r="AC25" s="28">
        <f t="shared" si="1"/>
        <v>0</v>
      </c>
      <c r="AD25" s="28">
        <f t="shared" si="1"/>
        <v>0</v>
      </c>
      <c r="AE25" s="28">
        <f t="shared" si="1"/>
        <v>0</v>
      </c>
      <c r="AF25" s="28">
        <f t="shared" si="1"/>
        <v>0</v>
      </c>
      <c r="AG25" s="28">
        <f t="shared" si="1"/>
        <v>0</v>
      </c>
      <c r="AH25" s="28">
        <f t="shared" si="1"/>
        <v>0</v>
      </c>
      <c r="AI25" s="28">
        <f t="shared" si="1"/>
        <v>0</v>
      </c>
      <c r="AJ25" s="28">
        <f t="shared" si="1"/>
        <v>0</v>
      </c>
      <c r="AK25" s="28">
        <f t="shared" si="1"/>
        <v>0</v>
      </c>
      <c r="AL25" s="28">
        <f t="shared" si="1"/>
        <v>0</v>
      </c>
      <c r="AM25" s="28">
        <f t="shared" si="1"/>
        <v>0</v>
      </c>
      <c r="AN25" s="28">
        <f t="shared" si="1"/>
        <v>0</v>
      </c>
      <c r="AO25" s="28">
        <f t="shared" si="1"/>
        <v>0</v>
      </c>
      <c r="AP25" s="28"/>
      <c r="AQ25" s="28">
        <f>SUM(AQ3:AQ23)</f>
        <v>0</v>
      </c>
      <c r="AR25" s="28">
        <f>SUM(AR3:AR23)</f>
        <v>0</v>
      </c>
      <c r="AS25" s="28">
        <f>SUM(AS3:AS23)</f>
        <v>0</v>
      </c>
      <c r="AT25" s="28"/>
      <c r="AU25" s="28"/>
      <c r="AV25" s="29">
        <f>SUM(AV3:AV23)</f>
        <v>0</v>
      </c>
    </row>
    <row r="26" spans="2:48" ht="16.5" thickBot="1" x14ac:dyDescent="0.3">
      <c r="C26" s="116"/>
      <c r="D26" s="117"/>
      <c r="E26" s="117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</row>
  </sheetData>
  <sheetProtection selectLockedCells="1"/>
  <sortState xmlns:xlrd2="http://schemas.microsoft.com/office/spreadsheetml/2017/richdata2" ref="B3:AO23">
    <sortCondition ref="B3:B23"/>
  </sortState>
  <phoneticPr fontId="1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OVERVIEW</vt:lpstr>
      <vt:lpstr>HOLDS</vt:lpstr>
      <vt:lpstr>Datenbank Holds</vt:lpstr>
      <vt:lpstr>Berechnung Holds</vt:lpstr>
      <vt:lpstr>OVERVIEW!Druckbereich</vt:lpstr>
      <vt:lpstr>HOLDS!Drucktitel</vt:lpstr>
      <vt:lpstr>OVERVIEW!Drucktitel</vt:lpstr>
    </vt:vector>
  </TitlesOfParts>
  <Company>T-Wall Equipment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System</dc:creator>
  <cp:lastModifiedBy>Bastian O</cp:lastModifiedBy>
  <cp:lastPrinted>2024-10-20T13:37:41Z</cp:lastPrinted>
  <dcterms:created xsi:type="dcterms:W3CDTF">2015-08-04T10:44:00Z</dcterms:created>
  <dcterms:modified xsi:type="dcterms:W3CDTF">2025-12-02T15:52:10Z</dcterms:modified>
</cp:coreProperties>
</file>